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165" windowWidth="12120" windowHeight="8550" activeTab="0"/>
  </bookViews>
  <sheets>
    <sheet name="表紙" sheetId="1" r:id="rId1"/>
    <sheet name="1ページ" sheetId="2" r:id="rId2"/>
    <sheet name="2ページ" sheetId="3" r:id="rId3"/>
    <sheet name="3ページ" sheetId="4" r:id="rId4"/>
    <sheet name="4ページ " sheetId="5" r:id="rId5"/>
    <sheet name="5ページ" sheetId="6" r:id="rId6"/>
    <sheet name="6ページ" sheetId="7" r:id="rId7"/>
    <sheet name="7ページ" sheetId="8" r:id="rId8"/>
    <sheet name="8ページ" sheetId="9" r:id="rId9"/>
    <sheet name="9ページ" sheetId="10" r:id="rId10"/>
    <sheet name="10ページ" sheetId="11" r:id="rId11"/>
    <sheet name="11ページ " sheetId="12" r:id="rId12"/>
    <sheet name="12ページ" sheetId="13" r:id="rId13"/>
    <sheet name="13ページ " sheetId="14" r:id="rId14"/>
    <sheet name="14ページ" sheetId="15" r:id="rId15"/>
  </sheets>
  <definedNames>
    <definedName name="_xlnm.Print_Area" localSheetId="1">'1ページ'!$A$1:$J$39</definedName>
    <definedName name="_xlnm.Print_Area" localSheetId="4">'4ページ '!$A$1:$K$39</definedName>
    <definedName name="_xlnm.Print_Area" localSheetId="8">'8ページ'!$A$1:$I$31</definedName>
    <definedName name="_xlnm.Print_Area" localSheetId="9">'9ページ'!$A$1:$K$30</definedName>
    <definedName name="_xlnm.Print_Area" localSheetId="0">'表紙'!$A$1:$J$41</definedName>
  </definedNames>
  <calcPr fullCalcOnLoad="1"/>
</workbook>
</file>

<file path=xl/sharedStrings.xml><?xml version="1.0" encoding="utf-8"?>
<sst xmlns="http://schemas.openxmlformats.org/spreadsheetml/2006/main" count="844" uniqueCount="592">
  <si>
    <t>　　　　　　　　御津図書館</t>
  </si>
  <si>
    <t>「平成２４年度岡山市小中学校教科書展示会」</t>
  </si>
  <si>
    <t>職場体験（中学生）</t>
  </si>
  <si>
    <t>資料名</t>
  </si>
  <si>
    <t>利用方法・用途</t>
  </si>
  <si>
    <t>　　　　　　　　幸町図書館</t>
  </si>
  <si>
    <t>『穂に穂』、『岡山の物産』</t>
  </si>
  <si>
    <t>研修（文科省職員）</t>
  </si>
  <si>
    <t>　　　　灘崎図書館</t>
  </si>
  <si>
    <t>視察（他自治体職員）</t>
  </si>
  <si>
    <t>　　　　伊島図書館</t>
  </si>
  <si>
    <t>　　　　西大寺緑花公園緑の図書室</t>
  </si>
  <si>
    <t>大型かみしばい</t>
  </si>
  <si>
    <t>おはなしのじかん</t>
  </si>
  <si>
    <t>えほんのじかん</t>
  </si>
  <si>
    <t>「西川に見える歴史と自然のロマン」
（吉沢利忠氏提供資料）</t>
  </si>
  <si>
    <t>としょかんフェスティバル　雑誌・本の交換会</t>
  </si>
  <si>
    <t>おはなしかい</t>
  </si>
  <si>
    <t>おはなしかいスペシャル</t>
  </si>
  <si>
    <t>子ども読書の日フェスティバルｉｎみつ
「みつとしょかんたんけん」</t>
  </si>
  <si>
    <t>おやこｄｅシネマ</t>
  </si>
  <si>
    <t>出張おはなしかい（宇垣コミュニティ）</t>
  </si>
  <si>
    <t>出張おはなしかい（御津スポーツパーク）</t>
  </si>
  <si>
    <t>こども映画会＆おはなしかい
（対象：わくわく児童クラブ）</t>
  </si>
  <si>
    <t>おはなしかい＆とびだすカードをつくろう！
（御津公民館共催行事）</t>
  </si>
  <si>
    <t>子どもの読書週間スペシャルおはなし会</t>
  </si>
  <si>
    <t>おはなしのへや</t>
  </si>
  <si>
    <t>おはなしひろば</t>
  </si>
  <si>
    <t>絵本読み聞かせ体験</t>
  </si>
  <si>
    <t>幸町図書館２０周年講演会
『田井郁久雄氏講演会』</t>
  </si>
  <si>
    <t>かみしばいのじかん
～こども読書の日によせて～</t>
  </si>
  <si>
    <t>えほんのじかんスペシャル
お化けえほん大会</t>
  </si>
  <si>
    <t>読書週間スペシャル　えほんのじかん</t>
  </si>
  <si>
    <t>クリスマス　おはなしのじかん</t>
  </si>
  <si>
    <t>読書週間　ほっとひといき親子ふれあいタイム</t>
  </si>
  <si>
    <t>子どもの日スペシャル　緑のカーテン大作戦！</t>
  </si>
  <si>
    <t>民話を語ろう立石おじさんの語りの学校子ども版</t>
  </si>
  <si>
    <t>ビデオ</t>
  </si>
  <si>
    <t>ＣＤ</t>
  </si>
  <si>
    <t>（４）マイクロフィルム</t>
  </si>
  <si>
    <t>（２）雑誌・新聞（平成２４年４月１日現在）</t>
  </si>
  <si>
    <t>ＢＭ</t>
  </si>
  <si>
    <t>ＢＭ</t>
  </si>
  <si>
    <t>17　有料データベース利用人数</t>
  </si>
  <si>
    <t>18　ビデオ視聴利用人数</t>
  </si>
  <si>
    <t>９　予約受付件数*11</t>
  </si>
  <si>
    <t>Web
ＯＰＡＣ</t>
  </si>
  <si>
    <t>AV</t>
  </si>
  <si>
    <t>ＣＤ</t>
  </si>
  <si>
    <t>ふれあい</t>
  </si>
  <si>
    <t>-</t>
  </si>
  <si>
    <t>中央図書館１日平均入館者数</t>
  </si>
  <si>
    <r>
      <t>*2 建部町図書館は「鶴田連絡所」</t>
    </r>
    <r>
      <rPr>
        <sz val="9"/>
        <rFont val="ＭＳ Ｐ明朝"/>
        <family val="1"/>
      </rPr>
      <t>（建部町図書館のサービスポイント）</t>
    </r>
    <r>
      <rPr>
        <sz val="10.5"/>
        <rFont val="ＭＳ Ｐ明朝"/>
        <family val="1"/>
      </rPr>
      <t>の貸出人数（19人）と貸出冊数（38冊）を含んだ数値</t>
    </r>
  </si>
  <si>
    <t>Ａ</t>
  </si>
  <si>
    <t>Ｂ</t>
  </si>
  <si>
    <t>Ｃ</t>
  </si>
  <si>
    <t>Ｄ</t>
  </si>
  <si>
    <t>個人貸出冊数</t>
  </si>
  <si>
    <t>Ｅ</t>
  </si>
  <si>
    <t>Ｆ</t>
  </si>
  <si>
    <t>Ｇ</t>
  </si>
  <si>
    <t>Ｈ</t>
  </si>
  <si>
    <t>Ｉ</t>
  </si>
  <si>
    <t>Ｋ</t>
  </si>
  <si>
    <t>Ｌ</t>
  </si>
  <si>
    <t>Ｍ</t>
  </si>
  <si>
    <r>
      <t>団体数*</t>
    </r>
    <r>
      <rPr>
        <sz val="10"/>
        <rFont val="ＭＳ Ｐ明朝"/>
        <family val="1"/>
      </rPr>
      <t>10</t>
    </r>
  </si>
  <si>
    <t>3/17～4/7</t>
  </si>
  <si>
    <t>4/20～5/20</t>
  </si>
  <si>
    <t>5/23～6/17</t>
  </si>
  <si>
    <t>6/23～8/15</t>
  </si>
  <si>
    <t>8/22～9/5</t>
  </si>
  <si>
    <t>9/12～10/7</t>
  </si>
  <si>
    <t>10/19～11/4</t>
  </si>
  <si>
    <t>11/10～11/18</t>
  </si>
  <si>
    <t>11/22～12/28</t>
  </si>
  <si>
    <t>1/5～1/31</t>
  </si>
  <si>
    <t>2/1～3/9</t>
  </si>
  <si>
    <t>3/16～4/7</t>
  </si>
  <si>
    <t>10/20～10/27</t>
  </si>
  <si>
    <t>6/15～6/30</t>
  </si>
  <si>
    <t>ＢＭ*3</t>
  </si>
  <si>
    <t>*4 個人登録者数は，コンピュータ化してから平成２４年度末までに，その図書館で利用者カードを発行した登録者数。ただし，コンピュータ化していない足守と公民館は年度内個人貸出登録者のみの数値。また，ふれあいセンターで申込をした個人登録者数は，平成２４年３月までは中央に含む。</t>
  </si>
  <si>
    <t>*10 「団体数」の合計値は，利用の重複を除いた全館の団体数のため，各館の合計と一致しない場合がある。</t>
  </si>
  <si>
    <t>見学（児童）</t>
  </si>
  <si>
    <t>見学（生徒）</t>
  </si>
  <si>
    <t>見学（園児・児童）</t>
  </si>
  <si>
    <t>施設団体利用（園児・生徒）</t>
  </si>
  <si>
    <t>見学（児童・生徒・学生）</t>
  </si>
  <si>
    <t>見学（児童・生徒）</t>
  </si>
  <si>
    <t>予約ベスト</t>
  </si>
  <si>
    <t>貸出ベスト</t>
  </si>
  <si>
    <t>中央</t>
  </si>
  <si>
    <t>幸町</t>
  </si>
  <si>
    <t>西大寺</t>
  </si>
  <si>
    <t>浦安</t>
  </si>
  <si>
    <t>伊島</t>
  </si>
  <si>
    <t>足守</t>
  </si>
  <si>
    <t>公民館</t>
  </si>
  <si>
    <t>計</t>
  </si>
  <si>
    <t>開館日数</t>
  </si>
  <si>
    <t>個人貸出人数</t>
  </si>
  <si>
    <t>一般</t>
  </si>
  <si>
    <t>児童</t>
  </si>
  <si>
    <t>個人貸出冊数</t>
  </si>
  <si>
    <t>貸出冊数</t>
  </si>
  <si>
    <t>口頭</t>
  </si>
  <si>
    <t>電話</t>
  </si>
  <si>
    <t>文書</t>
  </si>
  <si>
    <t>一般書</t>
  </si>
  <si>
    <t>児童書</t>
  </si>
  <si>
    <t>利用人数</t>
  </si>
  <si>
    <t>貸出人数</t>
  </si>
  <si>
    <t>岡南</t>
  </si>
  <si>
    <t>岡西</t>
  </si>
  <si>
    <t>北</t>
  </si>
  <si>
    <t>上南</t>
  </si>
  <si>
    <t>一宮</t>
  </si>
  <si>
    <t>津高</t>
  </si>
  <si>
    <t>高松</t>
  </si>
  <si>
    <t>吉備</t>
  </si>
  <si>
    <t>妹尾</t>
  </si>
  <si>
    <t>福田</t>
  </si>
  <si>
    <t>上道</t>
  </si>
  <si>
    <t>興除</t>
  </si>
  <si>
    <t>藤田</t>
  </si>
  <si>
    <t>東</t>
  </si>
  <si>
    <t>南</t>
  </si>
  <si>
    <t>旭東</t>
  </si>
  <si>
    <t>操南</t>
  </si>
  <si>
    <t>山南</t>
  </si>
  <si>
    <t>福浜</t>
  </si>
  <si>
    <t>富山</t>
  </si>
  <si>
    <t>芳田</t>
  </si>
  <si>
    <t>高島</t>
  </si>
  <si>
    <t>光南台</t>
  </si>
  <si>
    <t>御南西</t>
  </si>
  <si>
    <t>（１）図書</t>
  </si>
  <si>
    <t>除籍</t>
  </si>
  <si>
    <t>　</t>
  </si>
  <si>
    <t>内訳</t>
  </si>
  <si>
    <t>が含まれる。</t>
  </si>
  <si>
    <t>登録者数</t>
  </si>
  <si>
    <t>本年度購入冊数</t>
  </si>
  <si>
    <t>本年度受入冊数</t>
  </si>
  <si>
    <t>本年度末蔵書冊数</t>
  </si>
  <si>
    <t>購入タイトル数</t>
  </si>
  <si>
    <t>雑誌</t>
  </si>
  <si>
    <t>新聞</t>
  </si>
  <si>
    <t>（３）視聴覚資料</t>
  </si>
  <si>
    <t>本年度受入点数</t>
  </si>
  <si>
    <t>本年度末所蔵点数</t>
  </si>
  <si>
    <t>古文書を読む会</t>
  </si>
  <si>
    <t>名作映画会</t>
  </si>
  <si>
    <t>施設利用</t>
  </si>
  <si>
    <t>映画会</t>
  </si>
  <si>
    <t>おたのしみ会</t>
  </si>
  <si>
    <t>ﾀｲﾄﾙ数計</t>
  </si>
  <si>
    <t>人形劇</t>
  </si>
  <si>
    <t>音訳ボランティア上級講座</t>
  </si>
  <si>
    <t>本をたのしむ会</t>
  </si>
  <si>
    <t>親子おたのしみ会</t>
  </si>
  <si>
    <t>腹話術</t>
  </si>
  <si>
    <t>夏休み子ども科学教室</t>
  </si>
  <si>
    <t>回数</t>
  </si>
  <si>
    <t>参加人数</t>
  </si>
  <si>
    <t>金ようおたのしみ会</t>
  </si>
  <si>
    <t>クリスマス会</t>
  </si>
  <si>
    <t>中央図書館（２階展示コーナー）　</t>
  </si>
  <si>
    <t>岡山市立図書館</t>
  </si>
  <si>
    <t>中央図書館</t>
  </si>
  <si>
    <t>〒700-0843　</t>
  </si>
  <si>
    <t>幸町図書館</t>
  </si>
  <si>
    <t>〒700-0903　</t>
  </si>
  <si>
    <t>浦安総合公園図書館</t>
  </si>
  <si>
    <t>〒702-8024　</t>
  </si>
  <si>
    <t>伊島図書館</t>
  </si>
  <si>
    <t>〒700-0016　</t>
  </si>
  <si>
    <t>足守図書館</t>
  </si>
  <si>
    <t>〒701-1463</t>
  </si>
  <si>
    <t>蔵書冊数（図書のみ）</t>
  </si>
  <si>
    <t>購入図書冊数</t>
  </si>
  <si>
    <t>購入図書の平均単価</t>
  </si>
  <si>
    <t>職員数</t>
  </si>
  <si>
    <t xml:space="preserve">                             TEL(086)223-3373</t>
  </si>
  <si>
    <t xml:space="preserve">                             TEL(086)234-5188</t>
  </si>
  <si>
    <t xml:space="preserve">                             TEL(086)943-2298</t>
  </si>
  <si>
    <t xml:space="preserve">                             TEL(086)265-6141</t>
  </si>
  <si>
    <t xml:space="preserve">                             TEL(086)253-0822</t>
  </si>
  <si>
    <t xml:space="preserve">                             TEL(086)295-1942</t>
  </si>
  <si>
    <t>件数</t>
  </si>
  <si>
    <t>小学生のためのおはなし会</t>
  </si>
  <si>
    <t>子ども映画会</t>
  </si>
  <si>
    <t>　　　　中央図書館</t>
  </si>
  <si>
    <t>おはなしの会</t>
  </si>
  <si>
    <t>御津図書館</t>
  </si>
  <si>
    <t xml:space="preserve">                             TEL(0867)24-1712</t>
  </si>
  <si>
    <t>〒709-2121　</t>
  </si>
  <si>
    <t>〒709-1215　</t>
  </si>
  <si>
    <t>御津</t>
  </si>
  <si>
    <t>灘崎</t>
  </si>
  <si>
    <t>相互貸借</t>
  </si>
  <si>
    <t xml:space="preserve">                             TEL(08636)2-5277</t>
  </si>
  <si>
    <t>他ＡＶ資料</t>
  </si>
  <si>
    <t>大元</t>
  </si>
  <si>
    <t>おはなし会</t>
  </si>
  <si>
    <t>新規登録者数</t>
  </si>
  <si>
    <t>ＣＤ－ＲＯＭ</t>
  </si>
  <si>
    <t>個人貸出冊数（ＡＶを除く）</t>
  </si>
  <si>
    <t>建部</t>
  </si>
  <si>
    <t>瀬戸</t>
  </si>
  <si>
    <t>窓口</t>
  </si>
  <si>
    <t>館内ＯＰＡＣ</t>
  </si>
  <si>
    <t>建部町図書館</t>
  </si>
  <si>
    <t>瀬戸町図書館</t>
  </si>
  <si>
    <t>〒709-3111　</t>
  </si>
  <si>
    <t xml:space="preserve">                             TEL(0867)22-4555</t>
  </si>
  <si>
    <t>〒709-0856　</t>
  </si>
  <si>
    <t xml:space="preserve">                             TEL(086)952-4531</t>
  </si>
  <si>
    <t>大型かみしばい</t>
  </si>
  <si>
    <t>子どもビデオシアター</t>
  </si>
  <si>
    <t>　</t>
  </si>
  <si>
    <t>　　　　幸町図書館</t>
  </si>
  <si>
    <t>館</t>
  </si>
  <si>
    <t>読書案内・レファレンス受付</t>
  </si>
  <si>
    <t>おやこおたのしみ会</t>
  </si>
  <si>
    <t>絵本読み聞かせ体験</t>
  </si>
  <si>
    <t>クリスマスおたのしみ会</t>
  </si>
  <si>
    <t>　　　　御津図書館</t>
  </si>
  <si>
    <t>人数</t>
  </si>
  <si>
    <t>　　　　　（１）中央図書館</t>
  </si>
  <si>
    <t>　　　　　（２）幸町図書館</t>
  </si>
  <si>
    <t>（内　中央</t>
  </si>
  <si>
    <t>（１）中央図書館２階カウンター</t>
  </si>
  <si>
    <t>（２）中央図書館２階カウンター以外の読書案内・レファレンス受付分</t>
  </si>
  <si>
    <t>岡山市北区二日市町５６番地</t>
  </si>
  <si>
    <t>岡山市北区幸町１０番１６号</t>
  </si>
  <si>
    <t>岡山市北区伊島町二丁目９番３８号</t>
  </si>
  <si>
    <t>岡山市北区足守７１８番地</t>
  </si>
  <si>
    <t>岡山市北区御津宇垣１６２９番地</t>
  </si>
  <si>
    <t>瀬戸町図書館</t>
  </si>
  <si>
    <t>はるのおはなし会</t>
  </si>
  <si>
    <t>ふゆのおはなし会</t>
  </si>
  <si>
    <t>夏休みこども映画会</t>
  </si>
  <si>
    <t>　　　　浦安総合公園図書館</t>
  </si>
  <si>
    <t>　　　　瀬戸町図書館</t>
  </si>
  <si>
    <t>団体貸出冊数</t>
  </si>
  <si>
    <t>学校園</t>
  </si>
  <si>
    <t>市民一人当たりの貸出冊数（Ｄ／Ａ）</t>
  </si>
  <si>
    <t>市民一人当たりの図書館費（Ｉ／Ａ）</t>
  </si>
  <si>
    <t>市民一人当たりの資料費（Ｊ／Ａ）</t>
  </si>
  <si>
    <t>市民一人当たりの蔵書冊数（Ｇ／Ａ）</t>
  </si>
  <si>
    <t>市民一人当たりの購入図書冊数（Ｈ／Ａ）</t>
  </si>
  <si>
    <t>年度内貸出登録率（有効貸出登録率）（Ｃ／Ａ）</t>
  </si>
  <si>
    <t>蔵書回転率（Ｄ／Ｇ）</t>
  </si>
  <si>
    <t>年度内貸出登録者一人当たりの貸出冊数（Ｄ／Ｃ）</t>
  </si>
  <si>
    <t>職員一人当たりの奉仕人口（Ａ／Ｍ）</t>
  </si>
  <si>
    <t>職員一人当たりの貸出冊数（Ｄ／Ｍ）</t>
  </si>
  <si>
    <t>貸出コスト（Ｉ／Ｄ）</t>
  </si>
  <si>
    <t>貸出サービス指標（Ｌ×Ｄ／Ｉ）</t>
  </si>
  <si>
    <t>他自治体図書館への貸出</t>
  </si>
  <si>
    <t>その他団体（子ども文庫など）</t>
  </si>
  <si>
    <t>１　個人貸出数</t>
  </si>
  <si>
    <t>２　個人登録者数</t>
  </si>
  <si>
    <t>正規職員一人当たりの貸出冊数（Ｄ／Ｎ）</t>
  </si>
  <si>
    <t>予約受付件数</t>
  </si>
  <si>
    <t>＊足守図書館の配本冊数はＢＭの蔵書冊数に含む。</t>
  </si>
  <si>
    <t>図書</t>
  </si>
  <si>
    <t>継続登録者数</t>
  </si>
  <si>
    <t>岡山市南区浦安南町４９３番地２</t>
  </si>
  <si>
    <t>岡山市北区建部町福渡８３０番地１</t>
  </si>
  <si>
    <t>岡山市東区瀬戸町下１８８番地２</t>
  </si>
  <si>
    <t>ＡＶ</t>
  </si>
  <si>
    <t>-</t>
  </si>
  <si>
    <t>-</t>
  </si>
  <si>
    <t>-</t>
  </si>
  <si>
    <t>デイジー</t>
  </si>
  <si>
    <t>ＢＭ</t>
  </si>
  <si>
    <t>－</t>
  </si>
  <si>
    <t xml:space="preserve"> </t>
  </si>
  <si>
    <t>カセット</t>
  </si>
  <si>
    <t>ビデオ</t>
  </si>
  <si>
    <t>レーザーディスク</t>
  </si>
  <si>
    <t>ＤＶＤ</t>
  </si>
  <si>
    <t>ハンディキャップ</t>
  </si>
  <si>
    <t>）</t>
  </si>
  <si>
    <t>メール</t>
  </si>
  <si>
    <t>カセット</t>
  </si>
  <si>
    <t>レーザーディスク</t>
  </si>
  <si>
    <t>ＤＶＤ</t>
  </si>
  <si>
    <t>カセット</t>
  </si>
  <si>
    <t>ビデオ</t>
  </si>
  <si>
    <t>レーザーディスク</t>
  </si>
  <si>
    <t>ＤＶＤ</t>
  </si>
  <si>
    <t>　</t>
  </si>
  <si>
    <t>登録率（Ｂ／Ａ）</t>
  </si>
  <si>
    <t>灘崎図書館</t>
  </si>
  <si>
    <t>岡山市南区片岡１８６番地</t>
  </si>
  <si>
    <t>１階カウンター</t>
  </si>
  <si>
    <t>図書・雑誌</t>
  </si>
  <si>
    <t>２階カウンター</t>
  </si>
  <si>
    <t>合計</t>
  </si>
  <si>
    <t>灘崎町図書館</t>
  </si>
  <si>
    <t>影絵</t>
  </si>
  <si>
    <t>おはなし会スペシャル</t>
  </si>
  <si>
    <t>　　　　建部町図書館</t>
  </si>
  <si>
    <t>個人貸出冊数</t>
  </si>
  <si>
    <t>モノクロ</t>
  </si>
  <si>
    <t>カラー</t>
  </si>
  <si>
    <t>西大寺緑花公園緑の図書室</t>
  </si>
  <si>
    <t>〒704-8117　</t>
  </si>
  <si>
    <t>岡山市東区西大寺南一丁目２番３号</t>
  </si>
  <si>
    <t>緑</t>
  </si>
  <si>
    <t>岡山</t>
  </si>
  <si>
    <t>西</t>
  </si>
  <si>
    <t>個人登録者数*4</t>
  </si>
  <si>
    <t>読書週間おはなしのじかん</t>
  </si>
  <si>
    <t>読書週間えほんのじかん</t>
  </si>
  <si>
    <t>子ども読書の日スペシャルかみしばい</t>
  </si>
  <si>
    <t>古典を楽しむ会</t>
  </si>
  <si>
    <t>文章教室</t>
  </si>
  <si>
    <t>大人のためのおはなし会</t>
  </si>
  <si>
    <t>浦安図書館読書サークル</t>
  </si>
  <si>
    <t>インターンシップ（大学生）</t>
  </si>
  <si>
    <t>人数</t>
  </si>
  <si>
    <t>個人貸出冊数（公民館を除く，ＡＶは含む）</t>
  </si>
  <si>
    <t>※他施設を主とする兼務，視聴覚ライブラリーを主に勤務場所とする職員は除く。</t>
  </si>
  <si>
    <t>※個人貸出人数の児童は０歳～１２歳，一般は１３歳以上</t>
  </si>
  <si>
    <t>*1 他館から借用のうち，中央には障害者用資料の　朗読テープ</t>
  </si>
  <si>
    <t>特殊文庫
（国富文庫・燕々文庫，岡山市合併前の町村資料など）</t>
  </si>
  <si>
    <t>*身体障害者家庭配本の数は，ＢＭの個人登録者数，個人貸出人数・冊数に含む。</t>
  </si>
  <si>
    <t>　　　　　（３）浦安総合公園図書館</t>
  </si>
  <si>
    <t>　　　　　（４）伊島図書館</t>
  </si>
  <si>
    <t>　　　　　（５）建部町図書館</t>
  </si>
  <si>
    <t>　　　　　（６）御津図書館</t>
  </si>
  <si>
    <t>　　　　　（７）瀬戸町図書館</t>
  </si>
  <si>
    <t>　　　　　（８）灘崎図書館</t>
  </si>
  <si>
    <t>　　　　　（９）西大寺緑花公園緑の図書室</t>
  </si>
  <si>
    <t>資料回送数（ふれあい
中央図書館）</t>
  </si>
  <si>
    <t>利用・蔵書統計</t>
  </si>
  <si>
    <t>　　　中央図書館</t>
  </si>
  <si>
    <t>読書週間スペシャルかみしばいのじかん</t>
  </si>
  <si>
    <t>クリスマスを飾ろう！</t>
  </si>
  <si>
    <t>ほっとひといき親子ふれあいタイム</t>
  </si>
  <si>
    <t>こどもクリスマス会</t>
  </si>
  <si>
    <t>切り紙教室</t>
  </si>
  <si>
    <t>切り紙講座</t>
  </si>
  <si>
    <t>緑の図書室の１日平均入退館者数</t>
  </si>
  <si>
    <t>携帯</t>
  </si>
  <si>
    <t>お知らせページ</t>
  </si>
  <si>
    <t>資料検索</t>
  </si>
  <si>
    <t>新着資料一覧</t>
  </si>
  <si>
    <t>予約</t>
  </si>
  <si>
    <t>貸出照会・予約照会</t>
  </si>
  <si>
    <t>予約状況変更</t>
  </si>
  <si>
    <t>予約取消</t>
  </si>
  <si>
    <t>貸出延長</t>
  </si>
  <si>
    <t>メールアドレス・パスワード変更</t>
  </si>
  <si>
    <t>カレンダー閲覧</t>
  </si>
  <si>
    <t>新着資料お知らせメールサービス新規登録</t>
  </si>
  <si>
    <t>－</t>
  </si>
  <si>
    <t>旭</t>
  </si>
  <si>
    <t>東山</t>
  </si>
  <si>
    <t>万富</t>
  </si>
  <si>
    <t>中央図書館</t>
  </si>
  <si>
    <t>平成２４年度</t>
  </si>
  <si>
    <t>年度内個人貸出登録者数*5</t>
  </si>
  <si>
    <t>足守*6</t>
  </si>
  <si>
    <t>公民館*6</t>
  </si>
  <si>
    <t>*6 コンピュータ化していない足守と公民館の登録者については他館との重複が予想される。</t>
  </si>
  <si>
    <t>平成２４年度　実績指数</t>
  </si>
  <si>
    <t>個人登録者数（足守および公民館の重複分を含む）</t>
  </si>
  <si>
    <t>年度内個人貸出登録者数（足守および公民館の重複分を含む）</t>
  </si>
  <si>
    <t>図書館費（２４年度当初予算）</t>
  </si>
  <si>
    <t>資料費（２４年度当初予算）</t>
  </si>
  <si>
    <t>図書費（２４年度当初予算）</t>
  </si>
  <si>
    <t>利用団体数</t>
  </si>
  <si>
    <t>延べ団体数</t>
  </si>
  <si>
    <t>その他
団体
（子ども文庫など）</t>
  </si>
  <si>
    <t>学校園</t>
  </si>
  <si>
    <t>（１）子ども読書関連グループ出張活動の問い合わせ</t>
  </si>
  <si>
    <t>（２）ボランティア活動希望等の問い合わせ</t>
  </si>
  <si>
    <t>Ｊ</t>
  </si>
  <si>
    <t>ＯＰＡＣ利用状況</t>
  </si>
  <si>
    <t>パソコン</t>
  </si>
  <si>
    <t>-</t>
  </si>
  <si>
    <t>予約受付件数</t>
  </si>
  <si>
    <t>館内
ＯＰＡＣ</t>
  </si>
  <si>
    <t xml:space="preserve">  －  </t>
  </si>
  <si>
    <t xml:space="preserve">  －  </t>
  </si>
  <si>
    <t>公民館　</t>
  </si>
  <si>
    <t xml:space="preserve">　－  </t>
  </si>
  <si>
    <t>－</t>
  </si>
  <si>
    <t>ふれあい</t>
  </si>
  <si>
    <t>足守図書館　配本冊数13,783冊（一般書7,916冊　児童書5,867冊）</t>
  </si>
  <si>
    <t>人口（住民基本台帳による ）平成２５年３月３１日現在</t>
  </si>
  <si>
    <t>（参考：内外国人住民の人口）</t>
  </si>
  <si>
    <t>平成２４年４月現在</t>
  </si>
  <si>
    <t>正規職員数　平成２４年４月現在　</t>
  </si>
  <si>
    <t>（各館内訳：中央21（内司書15），幸町8（内司書7），浦安2（内司書2），緑2（内司書2））</t>
  </si>
  <si>
    <t>（各館内訳：中央35，幸町15，浦安3，伊島2，建部町2，御津3，瀬戸町3，灘崎3，緑5 ）</t>
  </si>
  <si>
    <t>（職員内訳：正規33（内司書26），嘱託司書19，再任用3，嘱託8，臨時8）</t>
  </si>
  <si>
    <t>Ｎ</t>
  </si>
  <si>
    <t>－</t>
  </si>
  <si>
    <t>３　視聴覚資料貸出の内訳（個人貸出）</t>
  </si>
  <si>
    <t>語学ＣＤ
朗読CD</t>
  </si>
  <si>
    <t>他ＡＶ資料*7</t>
  </si>
  <si>
    <t>*7 他ＡＶ資料とは，資料付属のＣＤ，ＣＤ－ＲＯＭ，ＤＶＤなど。</t>
  </si>
  <si>
    <t>４　公民館図書コーナーの貸出の内訳</t>
  </si>
  <si>
    <t>配本冊数*8</t>
  </si>
  <si>
    <t>*8 公民館各館への配本冊数は移動図書館の蔵書冊数に含む。</t>
  </si>
  <si>
    <t>西大寺※9</t>
  </si>
  <si>
    <t>*9 平成24年7月より西大寺公民館へのサービスを開始。配本はしていない。</t>
  </si>
  <si>
    <t>５　ふれあいセンターの貸出・予約の内訳</t>
  </si>
  <si>
    <t>６　身体障害者家庭配本の内訳</t>
  </si>
  <si>
    <t>７　対面朗読</t>
  </si>
  <si>
    <t>８　団体貸出数と他自治体図書館への貸出数</t>
  </si>
  <si>
    <t>中央　*12</t>
  </si>
  <si>
    <t>10　読書案内・レファレンス受付件数</t>
  </si>
  <si>
    <t>11　閉架書庫の利用（中央図書館のみ）</t>
  </si>
  <si>
    <t>12　複写枚数</t>
  </si>
  <si>
    <t>13　マイクロフイルム利用本数</t>
  </si>
  <si>
    <t>14　インターネット端末利用人数</t>
  </si>
  <si>
    <t>15　持ち込みパソコン用電源利用回数</t>
  </si>
  <si>
    <t>16　インターネット用ケーブル利用回数</t>
  </si>
  <si>
    <t>*13 御津図書館は平成２５年３月より再開（２月までは故障のため使用できず）</t>
  </si>
  <si>
    <t>*15 建部町図書館は平成２５年２月より故障のため使用できず</t>
  </si>
  <si>
    <t>19　ＯＰＡＣ（ホームページや館内利用者用検索機）利用状況</t>
  </si>
  <si>
    <t>20　資料整理状況</t>
  </si>
  <si>
    <t>語学ＣＤ
朗読ＣＤ</t>
  </si>
  <si>
    <t>21　行事・集会活動</t>
  </si>
  <si>
    <t>22　展示</t>
  </si>
  <si>
    <t>23　視察・見学等</t>
  </si>
  <si>
    <t>24　講演会</t>
  </si>
  <si>
    <t>25　岡山市子ども読書活動推進委員会事務局業務</t>
  </si>
  <si>
    <t>子ども読書週間おはなし大会</t>
  </si>
  <si>
    <t>こわ～いおはなしの会</t>
  </si>
  <si>
    <t>子ども読書週間おたのしみ会</t>
  </si>
  <si>
    <t>なつやすみ　こども映画会</t>
  </si>
  <si>
    <t>　　　幸町図書館</t>
  </si>
  <si>
    <t>かみしばいのじかん</t>
  </si>
  <si>
    <t>えほんのじかん</t>
  </si>
  <si>
    <t>子ども読書の日えほんのじかん</t>
  </si>
  <si>
    <t>おはなしのじかん</t>
  </si>
  <si>
    <t>子ども読書の日おはなしのじかん</t>
  </si>
  <si>
    <t>なつのおはなしの会</t>
  </si>
  <si>
    <t>つくろう！かざろう！たなばたかざり</t>
  </si>
  <si>
    <t>子ども読書の日わくわくコンサート</t>
  </si>
  <si>
    <t>ぶっくブックＢｏｏｋ</t>
  </si>
  <si>
    <t>読書週間ぶっく・ブック・ＢＯＯＫ</t>
  </si>
  <si>
    <t>子ども読書の日人形劇</t>
  </si>
  <si>
    <t>読書週間　腹話術</t>
  </si>
  <si>
    <t>4/23～5/31</t>
  </si>
  <si>
    <t>ゴーヤ収穫祭（公民館共催行事）
（場所：岡輝公民館）</t>
  </si>
  <si>
    <t>大型紙芝居と本の紹介（岡輝学区防災キャンプ）（場所：岡輝中学校）</t>
  </si>
  <si>
    <t>親子でつくるペーパークラフト
～岡山の生き物～</t>
  </si>
  <si>
    <t>親子で楽しむライブラリーコンサート</t>
  </si>
  <si>
    <t>親子で楽しむ布貼り絵ワークショップ＆原画展</t>
  </si>
  <si>
    <t>読書週間光とあそぼう</t>
  </si>
  <si>
    <t>鬼にへんし～ん！</t>
  </si>
  <si>
    <t>おひなさまを作ろう！</t>
  </si>
  <si>
    <t>郷土岡山を学ぶ上映会</t>
  </si>
  <si>
    <t>講演会「西川の歴史と自然のロマン」</t>
  </si>
  <si>
    <t>年はじめいろいろ使って書いちゃおう！</t>
  </si>
  <si>
    <t>子ども読書の日
ほっとひといき親子ふれあいタイム</t>
  </si>
  <si>
    <t>子ども読書週間「大すき！この本みんなのおすすめを大募集！」(足守を除く市立図書館全館にて）</t>
  </si>
  <si>
    <t>韓国語でえほんのじかん</t>
  </si>
  <si>
    <t>アコーディオン・ミニコンサート</t>
  </si>
  <si>
    <t>篠笛・ミニコンサート</t>
  </si>
  <si>
    <t>クラリネット・ミニコンサート</t>
  </si>
  <si>
    <t>ジュニアオーケストラ・ミニコンサート</t>
  </si>
  <si>
    <t>琴・尺八・ミニコンサート</t>
  </si>
  <si>
    <t>オルガンと絵本のミニコンサート</t>
  </si>
  <si>
    <t>マンドリン＆ギター・ミニコンサート</t>
  </si>
  <si>
    <t>子ども読書活動ボランティア講座</t>
  </si>
  <si>
    <t>特別上映会『那須少年記』（森詠氏解説）</t>
  </si>
  <si>
    <t>災害関連上映会『ＰＲＡＹ　ＦＯＲ　ＪＡＰＡＮ～心を一つに』（庭園都市推進課連携事業）</t>
  </si>
  <si>
    <t>えほんのじかん</t>
  </si>
  <si>
    <t>としょかんフェスティバル
「みんなで影絵を楽しもう」</t>
  </si>
  <si>
    <t>おはなしのじかん</t>
  </si>
  <si>
    <t>おはなしタイム</t>
  </si>
  <si>
    <t>こわいおはなしのかい</t>
  </si>
  <si>
    <t>冬休み腹話術</t>
  </si>
  <si>
    <t>ほっとひといき親子ふれあいタイム</t>
  </si>
  <si>
    <t>えいごであそぼ</t>
  </si>
  <si>
    <t>冬のおたのしみ会</t>
  </si>
  <si>
    <t>むかしなつかしがいとう紙芝居</t>
  </si>
  <si>
    <t>恐竜博士になろう</t>
  </si>
  <si>
    <t>名作映画会</t>
  </si>
  <si>
    <t>こども読書週間・こどもの日おたのしみ会</t>
  </si>
  <si>
    <t>なださき文化まつり協賛・あきのおはなし会</t>
  </si>
  <si>
    <t>建部*2</t>
  </si>
  <si>
    <t>「地球環境問題ポスターコンクール作品展」</t>
  </si>
  <si>
    <t>「坪田譲治文学賞受賞者直筆サイン色紙展」</t>
  </si>
  <si>
    <t>「図書館からスタジアムへ行こう！ファジアーノ岡山応援ミニ展示」</t>
  </si>
  <si>
    <t>「岡山市立図書館所蔵資料展～昭和２２年の岡山復興パノラマ図～」</t>
  </si>
  <si>
    <t>「３．１１　～岡山市消防局の救援活動展」</t>
  </si>
  <si>
    <t>「西川に見える歴史と自然のロマン」
（吉沢利忠氏提供資料）</t>
  </si>
  <si>
    <t>「ペーパークラフトでたのしむ岡山の建物と生き物」
（岡山シティミュージアム・小野田氏提供資料）</t>
  </si>
  <si>
    <t>「藤田桜布貼り絵原画展」</t>
  </si>
  <si>
    <t>「生物多様性／ＥＳＤフォトメッセージ優秀作品展」
（写真パネル）</t>
  </si>
  <si>
    <t>「岡山市立中央図書館所蔵　特別文庫展～藤原･国富･木畑･河本４家に伝わる貴重資料～」</t>
  </si>
  <si>
    <t>「坪田譲治展（第二十八回坪田譲治文学賞記念展）」</t>
  </si>
  <si>
    <t>「地球環境問題ポスターコンクール作品展」</t>
  </si>
  <si>
    <t>幸町図書館開館20周年記念講演会</t>
  </si>
  <si>
    <t>　　講師：田井郁久雄氏</t>
  </si>
  <si>
    <t>　　講師：吉澤利忠氏</t>
  </si>
  <si>
    <t>「西川の歴史と自然のロマン」</t>
  </si>
  <si>
    <t>「日々の暮らしの中に図書館を　</t>
  </si>
  <si>
    <t>　　～図書館の役割、そして岡山市の図書館の今とこれから～」</t>
  </si>
  <si>
    <t>※その他，庭園都市推進課から予算令達を受けた西大寺緑花公園緑の図書室の資料費５，４００，０００円があり，</t>
  </si>
  <si>
    <t>それを含めると１２１，４００，０００円となる。</t>
  </si>
  <si>
    <t>※庭園都市推進課から予算令達を受けた５，４００，０００円分を含む。</t>
  </si>
  <si>
    <t>26　当館所蔵貴重資料の出陳，出版物への掲載等</t>
  </si>
  <si>
    <t>出張おはなしかい（幼稚園・保育園）</t>
  </si>
  <si>
    <t>出張絵本読み聞かせ（場所：御津幼稚園）</t>
  </si>
  <si>
    <r>
      <t>御津図書館</t>
    </r>
    <r>
      <rPr>
        <sz val="9"/>
        <rFont val="ＭＳ Ｐ明朝"/>
        <family val="1"/>
      </rPr>
      <t>*13</t>
    </r>
  </si>
  <si>
    <r>
      <t>幸町図書館</t>
    </r>
    <r>
      <rPr>
        <sz val="9"/>
        <rFont val="ＭＳ Ｐ明朝"/>
        <family val="1"/>
      </rPr>
      <t>*14</t>
    </r>
  </si>
  <si>
    <r>
      <t>浦安図書館</t>
    </r>
    <r>
      <rPr>
        <sz val="9"/>
        <rFont val="ＭＳ Ｐ明朝"/>
        <family val="1"/>
      </rPr>
      <t>*14</t>
    </r>
  </si>
  <si>
    <r>
      <t>緑の図書室</t>
    </r>
    <r>
      <rPr>
        <sz val="9"/>
        <rFont val="ＭＳ Ｐ明朝"/>
        <family val="1"/>
      </rPr>
      <t>*14</t>
    </r>
  </si>
  <si>
    <r>
      <t>建部町図書館</t>
    </r>
    <r>
      <rPr>
        <sz val="9"/>
        <rFont val="ＭＳ Ｐ明朝"/>
        <family val="1"/>
      </rPr>
      <t>*15</t>
    </r>
  </si>
  <si>
    <t>ＣＤ</t>
  </si>
  <si>
    <r>
      <t>職場体験・プレジョブ</t>
    </r>
    <r>
      <rPr>
        <sz val="10"/>
        <rFont val="ＭＳ Ｐ明朝"/>
        <family val="1"/>
      </rPr>
      <t>（中学生・高校生・大学生）</t>
    </r>
  </si>
  <si>
    <t>（平成24年4月現在）</t>
  </si>
  <si>
    <t>35件</t>
  </si>
  <si>
    <r>
      <t>*3 BMは移動図書館のこと。</t>
    </r>
    <r>
      <rPr>
        <sz val="10"/>
        <rFont val="ＭＳ Ｐ明朝"/>
        <family val="1"/>
      </rPr>
      <t>移動図書館サービスポイント数　個人107  団体28  公民館29  身障者8  計172</t>
    </r>
  </si>
  <si>
    <t>*5 年度内個人貸出登録者数は，個人登録者のうち２４年度に図書館資料を借りた登録者数。２４年度に利用者カードを発行した新規登録者と，２３年度以前に登録した利用者で２４年度に図書館資料を借りた継続登録者を合わせた数。利用者登録した館で計上される（複数の館で貸出があっても，重複での計上はせず登録した館のみで計上。２３年度中のシステム変更により計上方法が変更になった）。
年度内個人貸出登録者数＝内訳：（新規登録者数＋継続登録者数）＝内訳：（一般＋児童）</t>
  </si>
  <si>
    <t>*11 予約受付件数とは，所蔵資料に対する予約と未所蔵資料の資料に対するリクエストを合わせた数。なお，公民館の予約件数は図書館から公民館への貸出冊数で算出。
*12 中央の予約受付件数にはふれあいセンターでの受付分3,074件を含む。</t>
  </si>
  <si>
    <t>*14 浦安は平成２４年１０月より計上開始。幸町及び緑は平成２５年１月より計上開始</t>
  </si>
  <si>
    <t>わくわく子どもまつりｉｎ岡山ドーム（11/4）
（移動図書館３号車　運転手1名　司書3名　参加</t>
  </si>
  <si>
    <t>図書貸出
・新規登録14人（一般8名、児童6名）
・貸出人数79人
・貸出冊数330冊
・おはなし会　4回　163人</t>
  </si>
  <si>
    <t>（株）ベストセラーズ</t>
  </si>
  <si>
    <t>『戦国武将の城』（一個人特別編集, H24.5刊行）への掲載（ポジフィルム）</t>
  </si>
  <si>
    <t>ソフトバンククリエイティブ（株）</t>
  </si>
  <si>
    <t>『ダムの科学』（サイエンスアイ新書, H24.11刊行）への掲載（ポジフィルム）</t>
  </si>
  <si>
    <t>月刊『歴史人』H24年10月号への掲載（ポジフィルム）</t>
  </si>
  <si>
    <t>（有）三猿舎</t>
  </si>
  <si>
    <t>『歴史魂 vol.9』（H24.10刊行）への掲載（ネガフィルム）</t>
  </si>
  <si>
    <t>『水に浮かぶ難攻不落の城　忍城合戦の真実』（洋泉社ムック, H24.10刊行）への掲載（ポジフィルム）</t>
  </si>
  <si>
    <t>（株）テレビマンユニオン</t>
  </si>
  <si>
    <t>ＮＨＫ－ＢＳプレミアム番組「ＢＳ歴史館　第55回　秀吉中国大返し」（H24.11.15放送）での放映（ポジフィルム）</t>
  </si>
  <si>
    <t>（株）毎日放送</t>
  </si>
  <si>
    <t>毎日放送「ちちんぷいぷい」（昔の人は偉かった）（H25.1.10放送）での“中国大返し”の説明（画像データ）</t>
  </si>
  <si>
    <t>横綱常ノ花の写真</t>
  </si>
  <si>
    <t>岡山商工会議所青年部「岡山市民の日」実行委員会</t>
  </si>
  <si>
    <t>『防空警防詳報』ほか、岡山空襲関連資料８点</t>
  </si>
  <si>
    <t>岡山市デジタルミュージアム</t>
  </si>
  <si>
    <t>「第３５回岡山戦災の記録と写真展」（H24.6.15～7.16）への出陳</t>
  </si>
  <si>
    <t>『胎産新書』巻１～３</t>
  </si>
  <si>
    <t>和歌山市立博物館</t>
  </si>
  <si>
    <t>特別展「華岡青洲の医塾春林軒と合水堂」（H24.7.21～8.26）への出陳</t>
  </si>
  <si>
    <t>『空襲の思出』</t>
  </si>
  <si>
    <t>（株）NHKグローバルメディアサービス</t>
  </si>
  <si>
    <t>「平成２４年度　戦災と平和展」（H24.9.12～9.16、新潟県長岡市）でパネルにして展示（画像データ）</t>
  </si>
  <si>
    <t>常ノ花優勝模杯</t>
  </si>
  <si>
    <t>（株）山陽新聞社</t>
  </si>
  <si>
    <t>（有）樹林舎</t>
  </si>
  <si>
    <t>『岡山市今昔写真集』（H24.10刊行）及びチラシへの掲載</t>
  </si>
  <si>
    <t>岡山県立博物館</t>
  </si>
  <si>
    <t>秋季展「津田永忠の業績」（H24.10.19～11.25）への出陳</t>
  </si>
  <si>
    <t>岡山市東区役所総務・地域振興課</t>
  </si>
  <si>
    <t>案内表示板「ふるさと西大寺の道しるべ」（東区升田）への掲載（修繕）</t>
  </si>
  <si>
    <t>日本文教出版（株）</t>
  </si>
  <si>
    <t>岡山県立記録資料館</t>
  </si>
  <si>
    <t>企画展「おかやまの名物・名産」（H24.11.6～12.2）への出陳</t>
  </si>
  <si>
    <t>（株）JBN</t>
  </si>
  <si>
    <t>「備前国三番港」（『吉備の魁』（明治16年出版、昭和53年復刻）収録）</t>
  </si>
  <si>
    <t>国土交通省岡山河川事務所</t>
  </si>
  <si>
    <t>複製を、旭川河口左岸（中区江並三蟠港跡付近）の高潮堤防工事施工中の工事看板、及び完成後の記念看板として使用</t>
  </si>
  <si>
    <t>岡山市市民局文化振興課</t>
  </si>
  <si>
    <t>岡山城の写真（「郷土写真アルバム」）</t>
  </si>
  <si>
    <t>新人物往来社</t>
  </si>
  <si>
    <t>月刊『歴史読本』H25年4月号への掲載（画像データ）</t>
  </si>
  <si>
    <t>利用者</t>
  </si>
  <si>
    <t>スタジオAK</t>
  </si>
  <si>
    <t>「高松城水攻築堤の図」</t>
  </si>
  <si>
    <t>「沖新田東西之図」</t>
  </si>
  <si>
    <t>『岡山の夏目金之助（漱石）』（岡山文庫, H24.10刊行）への掲載</t>
  </si>
  <si>
    <t>（財）吉備路文学館、日本文教出版（株）</t>
  </si>
  <si>
    <t>『昭和初期旧岡山市街地番図』</t>
  </si>
  <si>
    <r>
      <t>職場体験</t>
    </r>
    <r>
      <rPr>
        <sz val="10"/>
        <rFont val="ＭＳ Ｐ明朝"/>
        <family val="1"/>
      </rPr>
      <t>（中学生）</t>
    </r>
  </si>
  <si>
    <t>「自慢できる岡山市のパネル展」（岡山コンベンションセンター１階ロビー、H24.6.1）でパネルにして展示（画像データ）</t>
  </si>
  <si>
    <t>山陽新聞連載「先人の風景」（H24.9.18朝刊）に写真を掲載</t>
  </si>
  <si>
    <t>『郷土歴史アルバム』収録写真　計４３点</t>
  </si>
  <si>
    <t>坪田譲治の写真パネル（坪田文庫）</t>
  </si>
  <si>
    <t>長野県信濃町観光パンフレット（冬版）への掲載（使用は、県立図書館HPの画像の複写）</t>
  </si>
  <si>
    <t>牧野成憲の写真（『郷土歴史アルバム　人物Ｎｏ．５』）</t>
  </si>
  <si>
    <t>交流展「坂本龍馬と幕末の土佐」（H25.1.5～2.11）で、複製を展示</t>
  </si>
  <si>
    <t>「おかやま文学フェスティバル2013」のリーフレットへの掲載</t>
  </si>
  <si>
    <t>『旅人病死御注進留』ほか１１点（藤原文庫）、『行倒者取捨場所構分り之覚』（国富文庫）</t>
  </si>
  <si>
    <t>岡山市、（社）おかやま観光コンベンション協会、（株）山陽新聞社</t>
  </si>
  <si>
    <t>岡山城春季特別展「江戸の旅人たち」（H25.3.13～5.14）への出陳</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</si>
</sst>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件&quot;"/>
    <numFmt numFmtId="178" formatCode="#,##0&quot;点&quot;"/>
    <numFmt numFmtId="179" formatCode="#,##0&quot;巻&quot;"/>
    <numFmt numFmtId="180" formatCode="&quot;*&quot;#,##0"/>
    <numFmt numFmtId="181" formatCode="#,##0\ｹ\ｰ\ｽ"/>
    <numFmt numFmtId="182" formatCode="&quot;（&quot;#,##0&quot;）&quot;"/>
    <numFmt numFmtId="183" formatCode="&quot;（&quot;#,##0&quot;点&quot;&quot;）&quot;"/>
    <numFmt numFmtId="184" formatCode="#,##0_);[Red]\(#,##0\)"/>
    <numFmt numFmtId="185" formatCode="&quot;Yes&quot;;&quot;Yes&quot;;&quot;No&quot;"/>
    <numFmt numFmtId="186" formatCode="&quot;True&quot;;&quot;True&quot;;&quot;False&quot;"/>
    <numFmt numFmtId="187" formatCode="&quot;On&quot;;&quot;On&quot;;&quot;Off&quot;"/>
    <numFmt numFmtId="188" formatCode="0_);[Red]\(0\)"/>
    <numFmt numFmtId="189" formatCode="#,##0&quot;回&quot;"/>
    <numFmt numFmtId="190" formatCode="#,##0&quot;冊&quot;"/>
    <numFmt numFmtId="191" formatCode="#,##0&quot;円&quot;"/>
    <numFmt numFmtId="192" formatCode="#,##0.#&quot;冊&quot;"/>
    <numFmt numFmtId="193" formatCode="0.0%"/>
    <numFmt numFmtId="194" formatCode="#,##0.0&quot;回&quot;"/>
    <numFmt numFmtId="195" formatCode="#,##0.0&quot;倍&quot;"/>
    <numFmt numFmtId="196" formatCode="0.0_);[Red]\(0.0\)"/>
    <numFmt numFmtId="197" formatCode="#,##0&quot;(1)&quot;"/>
    <numFmt numFmtId="198" formatCode="&quot;(&quot;#,##0&quot;人&quot;&quot;)&quot;"/>
    <numFmt numFmtId="199" formatCode="#,##0&quot;本&quot;"/>
    <numFmt numFmtId="200" formatCode="#,##0&quot;(2)&quot;"/>
    <numFmt numFmtId="201" formatCode="#,##0&quot;(8)&quot;"/>
    <numFmt numFmtId="202" formatCode="#,##0&quot;*2&quot;"/>
    <numFmt numFmtId="203" formatCode="#,##0&quot;*8&quot;"/>
    <numFmt numFmtId="204" formatCode="#,##0&quot; *8&quot;"/>
    <numFmt numFmtId="205" formatCode="#,##0&quot; *2&quot;"/>
    <numFmt numFmtId="206" formatCode="#,##0&quot;枚&quot;"/>
    <numFmt numFmtId="207" formatCode="#,##0.0&quot;冊&quot;"/>
    <numFmt numFmtId="208" formatCode="#,##0&quot; *9&quot;"/>
    <numFmt numFmtId="209" formatCode="#,##0&quot; *1&quot;"/>
    <numFmt numFmtId="210" formatCode="#,##0_ "/>
    <numFmt numFmtId="211" formatCode="#,##0;[Red]#,##0"/>
    <numFmt numFmtId="212" formatCode="#,##0&quot; *10&quot;"/>
    <numFmt numFmtId="213" formatCode="#,##0&quot; *12&quot;"/>
    <numFmt numFmtId="214" formatCode="#,##0&quot; *13&quot;"/>
    <numFmt numFmtId="215" formatCode="#,##0_ ;[Red]\-#,##0\ "/>
    <numFmt numFmtId="216" formatCode="\(#,##0&quot;人&quot;\)"/>
  </numFmts>
  <fonts count="25">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24"/>
      <name val="ＭＳ Ｐゴシック"/>
      <family val="3"/>
    </font>
    <font>
      <sz val="20"/>
      <name val="ＭＳ Ｐゴシック"/>
      <family val="3"/>
    </font>
    <font>
      <b/>
      <sz val="36"/>
      <name val="ＭＳ Ｐゴシック"/>
      <family val="3"/>
    </font>
    <font>
      <b/>
      <sz val="28"/>
      <name val="ＭＳ Ｐゴシック"/>
      <family val="3"/>
    </font>
    <font>
      <b/>
      <sz val="24"/>
      <name val="ＭＳ Ｐゴシック"/>
      <family val="3"/>
    </font>
    <font>
      <b/>
      <sz val="20"/>
      <name val="ＭＳ Ｐゴシック"/>
      <family val="3"/>
    </font>
    <font>
      <b/>
      <sz val="14"/>
      <name val="ＭＳ Ｐゴシック"/>
      <family val="3"/>
    </font>
    <font>
      <sz val="11"/>
      <name val="ＭＳ 明朝"/>
      <family val="1"/>
    </font>
    <font>
      <sz val="10"/>
      <name val="ＭＳ Ｐ明朝"/>
      <family val="1"/>
    </font>
    <font>
      <sz val="16"/>
      <name val="ＭＳ Ｐ明朝"/>
      <family val="1"/>
    </font>
    <font>
      <sz val="10.5"/>
      <name val="ＭＳ Ｐ明朝"/>
      <family val="1"/>
    </font>
    <font>
      <sz val="9"/>
      <name val="ＭＳ Ｐ明朝"/>
      <family val="1"/>
    </font>
    <font>
      <sz val="6"/>
      <name val="ＭＳ Ｐ明朝"/>
      <family val="1"/>
    </font>
    <font>
      <b/>
      <sz val="12"/>
      <name val="ＭＳ Ｐゴシック"/>
      <family val="3"/>
    </font>
    <font>
      <sz val="10"/>
      <name val="ＭＳ Ｐゴシック"/>
      <family val="3"/>
    </font>
    <font>
      <sz val="8.5"/>
      <name val="ＭＳ Ｐゴシック"/>
      <family val="3"/>
    </font>
    <font>
      <sz val="10"/>
      <name val="ＭＳ 明朝"/>
      <family val="1"/>
    </font>
    <font>
      <sz val="7"/>
      <name val="ＭＳ 明朝"/>
      <family val="1"/>
    </font>
    <font>
      <sz val="8"/>
      <name val="ＭＳ Ｐ明朝"/>
      <family val="1"/>
    </font>
    <font>
      <sz val="7"/>
      <name val="ＭＳ Ｐ明朝"/>
      <family val="1"/>
    </font>
  </fonts>
  <fills count="3">
    <fill>
      <patternFill/>
    </fill>
    <fill>
      <patternFill patternType="gray125"/>
    </fill>
    <fill>
      <patternFill patternType="solid">
        <fgColor indexed="9"/>
        <bgColor indexed="64"/>
      </patternFill>
    </fill>
  </fills>
  <borders count="120">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double"/>
    </border>
    <border>
      <left style="dashed"/>
      <right style="thin"/>
      <top style="thin"/>
      <bottom style="double"/>
    </border>
    <border>
      <left style="thin"/>
      <right>
        <color indexed="63"/>
      </right>
      <top style="thin"/>
      <bottom style="double"/>
    </border>
    <border>
      <left style="double"/>
      <right>
        <color indexed="63"/>
      </right>
      <top style="thin"/>
      <bottom style="double"/>
    </border>
    <border>
      <left style="dashed"/>
      <right style="dashed"/>
      <top style="thin"/>
      <bottom style="double"/>
    </border>
    <border>
      <left style="thin"/>
      <right style="thin"/>
      <top style="thin"/>
      <bottom style="double"/>
    </border>
    <border>
      <left style="thin"/>
      <right style="double"/>
      <top style="thin"/>
      <bottom style="double"/>
    </border>
    <border>
      <left style="double"/>
      <right style="dashed"/>
      <top style="thin"/>
      <bottom style="double"/>
    </border>
    <border>
      <left>
        <color indexed="63"/>
      </left>
      <right style="thin"/>
      <top style="thin"/>
      <bottom style="double"/>
    </border>
    <border>
      <left style="dashed"/>
      <right>
        <color indexed="63"/>
      </right>
      <top style="thin"/>
      <bottom style="double"/>
    </border>
    <border>
      <left>
        <color indexed="63"/>
      </left>
      <right style="double"/>
      <top style="thin"/>
      <bottom style="double"/>
    </border>
    <border>
      <left>
        <color indexed="63"/>
      </left>
      <right>
        <color indexed="63"/>
      </right>
      <top style="thin"/>
      <bottom>
        <color indexed="63"/>
      </bottom>
    </border>
    <border>
      <left style="dashed"/>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dashed"/>
      <right style="thin"/>
      <top style="thin"/>
      <bottom style="thin"/>
    </border>
    <border>
      <left style="dashed"/>
      <right style="dashed"/>
      <top style="thin"/>
      <bottom style="thin"/>
    </border>
    <border>
      <left style="thin"/>
      <right style="double"/>
      <top style="double"/>
      <bottom style="thin"/>
    </border>
    <border>
      <left style="thin"/>
      <right style="double"/>
      <top style="thin"/>
      <bottom style="thin"/>
    </border>
    <border>
      <left style="thin"/>
      <right>
        <color indexed="63"/>
      </right>
      <top style="double"/>
      <bottom style="thin"/>
    </border>
    <border>
      <left>
        <color indexed="63"/>
      </left>
      <right style="thin"/>
      <top style="thin"/>
      <bottom style="thin"/>
    </border>
    <border>
      <left style="thin"/>
      <right style="double"/>
      <top style="thin"/>
      <bottom>
        <color indexed="63"/>
      </bottom>
    </border>
    <border>
      <left style="dashed"/>
      <right style="double"/>
      <top style="thin"/>
      <bottom style="double"/>
    </border>
    <border>
      <left style="thin"/>
      <right style="double"/>
      <top>
        <color indexed="63"/>
      </top>
      <bottom style="thin"/>
    </border>
    <border>
      <left>
        <color indexed="63"/>
      </left>
      <right style="dashed"/>
      <top style="thin"/>
      <bottom style="double"/>
    </border>
    <border>
      <left style="thin"/>
      <right style="double"/>
      <top>
        <color indexed="63"/>
      </top>
      <bottom style="double"/>
    </border>
    <border>
      <left style="thin"/>
      <right style="dashed"/>
      <top style="thin"/>
      <bottom>
        <color indexed="63"/>
      </bottom>
    </border>
    <border>
      <left style="double"/>
      <right style="double"/>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double"/>
      <bottom style="thin"/>
    </border>
    <border>
      <left style="thin"/>
      <right style="thin"/>
      <top style="double"/>
      <bottom style="thin"/>
    </border>
    <border>
      <left>
        <color indexed="63"/>
      </left>
      <right>
        <color indexed="63"/>
      </right>
      <top>
        <color indexed="63"/>
      </top>
      <bottom style="thin"/>
    </border>
    <border>
      <left style="dashed"/>
      <right style="dashed"/>
      <top style="double"/>
      <bottom style="thin"/>
    </border>
    <border>
      <left style="dashed"/>
      <right>
        <color indexed="63"/>
      </right>
      <top style="double"/>
      <bottom style="thin"/>
    </border>
    <border>
      <left style="dashed"/>
      <right>
        <color indexed="63"/>
      </right>
      <top>
        <color indexed="63"/>
      </top>
      <bottom style="thin"/>
    </border>
    <border>
      <left>
        <color indexed="63"/>
      </left>
      <right style="double"/>
      <top style="double"/>
      <bottom style="thin"/>
    </border>
    <border>
      <left style="double"/>
      <right style="thin"/>
      <top style="double"/>
      <bottom>
        <color indexed="63"/>
      </bottom>
    </border>
    <border>
      <left style="dashed"/>
      <right style="dashed"/>
      <top>
        <color indexed="63"/>
      </top>
      <bottom>
        <color indexed="63"/>
      </bottom>
    </border>
    <border>
      <left style="dashed"/>
      <right>
        <color indexed="63"/>
      </right>
      <top>
        <color indexed="63"/>
      </top>
      <bottom>
        <color indexed="63"/>
      </bottom>
    </border>
    <border>
      <left style="dashed"/>
      <right>
        <color indexed="63"/>
      </right>
      <top style="thin"/>
      <bottom style="thin"/>
    </border>
    <border>
      <left>
        <color indexed="63"/>
      </left>
      <right style="double"/>
      <top style="thin"/>
      <bottom style="thin"/>
    </border>
    <border>
      <left style="double"/>
      <right style="thin"/>
      <top style="thin"/>
      <bottom>
        <color indexed="63"/>
      </bottom>
    </border>
    <border>
      <left style="double"/>
      <right style="thin"/>
      <top style="thin"/>
      <bottom style="thin"/>
    </border>
    <border>
      <left>
        <color indexed="63"/>
      </left>
      <right>
        <color indexed="63"/>
      </right>
      <top style="double"/>
      <bottom style="thin"/>
    </border>
    <border>
      <left style="thin"/>
      <right style="dashed"/>
      <top style="double"/>
      <bottom style="thin"/>
    </border>
    <border>
      <left style="double"/>
      <right style="thin"/>
      <top style="double"/>
      <bottom style="thin"/>
    </border>
    <border>
      <left style="dashed"/>
      <right style="dashed"/>
      <top>
        <color indexed="63"/>
      </top>
      <bottom style="thin"/>
    </border>
    <border>
      <left style="thin"/>
      <right style="double"/>
      <top>
        <color indexed="63"/>
      </top>
      <bottom>
        <color indexed="63"/>
      </bottom>
    </border>
    <border>
      <left style="dashed"/>
      <right>
        <color indexed="63"/>
      </right>
      <top style="thin"/>
      <bottom>
        <color indexed="63"/>
      </bottom>
    </border>
    <border>
      <left>
        <color indexed="63"/>
      </left>
      <right style="dashed"/>
      <top>
        <color indexed="63"/>
      </top>
      <bottom style="thin"/>
    </border>
    <border>
      <left style="double"/>
      <right style="dashed"/>
      <top>
        <color indexed="63"/>
      </top>
      <bottom style="thin"/>
    </border>
    <border>
      <left style="thin"/>
      <right>
        <color indexed="63"/>
      </right>
      <top>
        <color indexed="63"/>
      </top>
      <bottom style="thin"/>
    </border>
    <border>
      <left style="double"/>
      <right style="thin"/>
      <top>
        <color indexed="63"/>
      </top>
      <bottom style="thin"/>
    </border>
    <border>
      <left>
        <color indexed="63"/>
      </left>
      <right style="dashed"/>
      <top style="thin"/>
      <bottom style="thin"/>
    </border>
    <border>
      <left style="double"/>
      <right style="dashed"/>
      <top style="thin"/>
      <bottom style="thin"/>
    </border>
    <border>
      <left>
        <color indexed="63"/>
      </left>
      <right style="dashed"/>
      <top style="thin"/>
      <bottom>
        <color indexed="63"/>
      </bottom>
    </border>
    <border>
      <left style="double"/>
      <right style="dashed"/>
      <top style="thin"/>
      <bottom>
        <color indexed="63"/>
      </bottom>
    </border>
    <border>
      <left style="thin"/>
      <right>
        <color indexed="63"/>
      </right>
      <top style="thin"/>
      <bottom>
        <color indexed="63"/>
      </bottom>
    </border>
    <border>
      <left style="double"/>
      <right style="thin"/>
      <top style="thin"/>
      <bottom style="double"/>
    </border>
    <border>
      <left style="double"/>
      <right style="dashed"/>
      <top style="double"/>
      <bottom style="thin"/>
    </border>
    <border>
      <left style="thin"/>
      <right style="thin"/>
      <top>
        <color indexed="63"/>
      </top>
      <bottom style="thin"/>
    </border>
    <border>
      <left style="dashed"/>
      <right style="thin"/>
      <top style="double"/>
      <bottom style="thin"/>
    </border>
    <border>
      <left style="double"/>
      <right style="dashed"/>
      <top>
        <color indexed="63"/>
      </top>
      <bottom>
        <color indexed="63"/>
      </bottom>
    </border>
    <border>
      <left style="dashed"/>
      <right style="thin"/>
      <top>
        <color indexed="63"/>
      </top>
      <bottom>
        <color indexed="63"/>
      </bottom>
    </border>
    <border>
      <left style="thin"/>
      <right style="thin"/>
      <top>
        <color indexed="63"/>
      </top>
      <bottom>
        <color indexed="63"/>
      </bottom>
    </border>
    <border>
      <left style="double"/>
      <right>
        <color indexed="63"/>
      </right>
      <top style="thin"/>
      <bottom style="thin"/>
    </border>
    <border>
      <left style="thin"/>
      <right style="thin"/>
      <top style="thin"/>
      <bottom>
        <color indexed="63"/>
      </bottom>
    </border>
    <border>
      <left>
        <color indexed="63"/>
      </left>
      <right style="thin"/>
      <top style="thin"/>
      <bottom style="dashed"/>
    </border>
    <border>
      <left>
        <color indexed="63"/>
      </left>
      <right style="thin"/>
      <top style="dashed"/>
      <bottom style="dashed"/>
    </border>
    <border>
      <left style="double"/>
      <right style="double"/>
      <top>
        <color indexed="63"/>
      </top>
      <bottom style="thin"/>
    </border>
    <border>
      <left style="double"/>
      <right style="double"/>
      <top style="thin"/>
      <bottom style="double"/>
    </border>
    <border>
      <left style="dashed"/>
      <right style="double"/>
      <top>
        <color indexed="63"/>
      </top>
      <bottom style="thin"/>
    </border>
    <border>
      <left style="dashed"/>
      <right style="double"/>
      <top style="thin"/>
      <bottom style="thin"/>
    </border>
    <border>
      <left style="dashed"/>
      <right style="double"/>
      <top style="thin"/>
      <bottom>
        <color indexed="63"/>
      </bottom>
    </border>
    <border>
      <left>
        <color indexed="63"/>
      </left>
      <right>
        <color indexed="63"/>
      </right>
      <top>
        <color indexed="63"/>
      </top>
      <bottom style="double"/>
    </border>
    <border>
      <left style="dashed"/>
      <right style="thin"/>
      <top>
        <color indexed="63"/>
      </top>
      <bottom style="double"/>
    </border>
    <border>
      <left>
        <color indexed="63"/>
      </left>
      <right style="thin"/>
      <top>
        <color indexed="63"/>
      </top>
      <bottom style="double"/>
    </border>
    <border>
      <left style="double"/>
      <right>
        <color indexed="63"/>
      </right>
      <top style="double"/>
      <bottom style="thin"/>
    </border>
    <border>
      <left>
        <color indexed="63"/>
      </left>
      <right style="dashed"/>
      <top style="double"/>
      <bottom style="thin"/>
    </border>
    <border>
      <left style="double"/>
      <right style="double"/>
      <top style="double"/>
      <bottom style="thin"/>
    </border>
    <border>
      <left style="double"/>
      <right>
        <color indexed="63"/>
      </right>
      <top>
        <color indexed="63"/>
      </top>
      <bottom style="thin"/>
    </border>
    <border>
      <left style="dashed"/>
      <right style="thin"/>
      <top>
        <color indexed="63"/>
      </top>
      <bottom style="thin"/>
    </border>
    <border>
      <left>
        <color indexed="63"/>
      </left>
      <right style="double"/>
      <top>
        <color indexed="63"/>
      </top>
      <bottom style="thin"/>
    </border>
    <border>
      <left style="double"/>
      <right style="double"/>
      <top style="thin"/>
      <bottom>
        <color indexed="63"/>
      </bottom>
    </border>
    <border>
      <left style="double"/>
      <right>
        <color indexed="63"/>
      </right>
      <top>
        <color indexed="63"/>
      </top>
      <bottom>
        <color indexed="63"/>
      </bottom>
    </border>
    <border>
      <left style="thin"/>
      <right style="dashed"/>
      <top>
        <color indexed="63"/>
      </top>
      <bottom style="thin"/>
    </border>
    <border>
      <left style="thin"/>
      <right style="dashed"/>
      <top style="thin"/>
      <bottom style="thin"/>
    </border>
    <border>
      <left style="thin"/>
      <right style="dashed"/>
      <top>
        <color indexed="63"/>
      </top>
      <bottom>
        <color indexed="63"/>
      </bottom>
    </border>
    <border>
      <left>
        <color indexed="63"/>
      </left>
      <right style="double"/>
      <top>
        <color indexed="63"/>
      </top>
      <bottom>
        <color indexed="63"/>
      </bottom>
    </border>
    <border>
      <left style="double"/>
      <right style="dotted"/>
      <top style="thin"/>
      <bottom style="double"/>
    </border>
    <border>
      <left>
        <color indexed="63"/>
      </left>
      <right style="dotted"/>
      <top style="thin"/>
      <bottom style="double"/>
    </border>
    <border>
      <left style="double"/>
      <right style="dotted"/>
      <top style="double"/>
      <bottom style="thin"/>
    </border>
    <border>
      <left>
        <color indexed="63"/>
      </left>
      <right style="dotted"/>
      <top style="double"/>
      <bottom style="thin"/>
    </border>
    <border>
      <left style="double"/>
      <right style="dotted"/>
      <top style="thin"/>
      <bottom style="thin"/>
    </border>
    <border>
      <left>
        <color indexed="63"/>
      </left>
      <right style="dotted"/>
      <top style="thin"/>
      <bottom style="thin"/>
    </border>
    <border>
      <left style="thin"/>
      <right style="dotted"/>
      <top style="thin"/>
      <bottom style="thin"/>
    </border>
    <border>
      <left style="double"/>
      <right style="dotted"/>
      <top style="thin"/>
      <bottom>
        <color indexed="63"/>
      </bottom>
    </border>
    <border>
      <left>
        <color indexed="63"/>
      </left>
      <right style="dotted"/>
      <top style="thin"/>
      <bottom>
        <color indexed="63"/>
      </bottom>
    </border>
    <border>
      <left style="double"/>
      <right>
        <color indexed="63"/>
      </right>
      <top/>
      <bottom style="thin"/>
    </border>
    <border>
      <left style="dashed"/>
      <right style="dashed"/>
      <top/>
      <bottom style="thin"/>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style="double"/>
    </border>
    <border>
      <left style="thin"/>
      <right style="dashed"/>
      <top style="thin"/>
      <bottom style="double"/>
    </border>
    <border>
      <left style="dashed"/>
      <right style="double"/>
      <top>
        <color indexed="63"/>
      </top>
      <bottom style="double"/>
    </border>
    <border>
      <left style="thin"/>
      <right style="dashed"/>
      <top>
        <color indexed="63"/>
      </top>
      <bottom style="double"/>
    </border>
    <border>
      <left>
        <color indexed="63"/>
      </left>
      <right style="double"/>
      <top style="thin"/>
      <bottom>
        <color indexed="63"/>
      </bottom>
    </border>
    <border>
      <left>
        <color indexed="63"/>
      </left>
      <right style="double"/>
      <top>
        <color indexed="63"/>
      </top>
      <bottom style="double"/>
    </border>
    <border>
      <left style="thin"/>
      <right style="thin"/>
      <top style="thin"/>
      <bottom style="dashed"/>
    </border>
    <border>
      <left style="thin"/>
      <right style="double"/>
      <top style="thin"/>
      <bottom style="dashed"/>
    </border>
    <border>
      <left style="thin"/>
      <right style="thin"/>
      <top style="dashed"/>
      <bottom style="dashed"/>
    </border>
    <border>
      <left style="thin"/>
      <right style="double"/>
      <top style="dashed"/>
      <bottom style="dashed"/>
    </border>
    <border>
      <left style="thin"/>
      <right style="thin"/>
      <top style="dashed"/>
      <bottom style="thin"/>
    </border>
    <border>
      <left style="thin"/>
      <right style="double"/>
      <top style="dashed"/>
      <bottom style="thin"/>
    </border>
    <border>
      <left>
        <color indexed="63"/>
      </left>
      <right style="thin"/>
      <top style="dashed"/>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cellStyleXfs>
  <cellXfs count="629">
    <xf numFmtId="0" fontId="0" fillId="0" borderId="0" xfId="0" applyAlignment="1">
      <alignment/>
    </xf>
    <xf numFmtId="0" fontId="6"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distributed"/>
    </xf>
    <xf numFmtId="0" fontId="0" fillId="0" borderId="0" xfId="0" applyAlignment="1">
      <alignment horizontal="left"/>
    </xf>
    <xf numFmtId="0" fontId="0" fillId="0" borderId="0" xfId="0" applyAlignment="1">
      <alignment horizontal="distributed"/>
    </xf>
    <xf numFmtId="0" fontId="2" fillId="0" borderId="0" xfId="23" applyFont="1" applyFill="1" applyAlignment="1">
      <alignment horizontal="left"/>
      <protection/>
    </xf>
    <xf numFmtId="176" fontId="2" fillId="0" borderId="0" xfId="23" applyNumberFormat="1" applyFont="1" applyFill="1">
      <alignment/>
      <protection/>
    </xf>
    <xf numFmtId="0" fontId="2" fillId="0" borderId="0" xfId="0" applyFont="1" applyFill="1" applyAlignment="1">
      <alignment/>
    </xf>
    <xf numFmtId="38" fontId="2" fillId="0" borderId="0" xfId="17" applyFont="1" applyFill="1" applyBorder="1" applyAlignment="1">
      <alignment vertical="center"/>
    </xf>
    <xf numFmtId="0" fontId="0" fillId="0" borderId="0" xfId="0" applyFill="1" applyAlignment="1">
      <alignment horizontal="left"/>
    </xf>
    <xf numFmtId="0" fontId="0" fillId="0" borderId="0" xfId="0" applyAlignment="1">
      <alignment horizontal="left" wrapText="1"/>
    </xf>
    <xf numFmtId="0" fontId="0" fillId="0" borderId="0" xfId="0" applyFill="1" applyAlignment="1">
      <alignment/>
    </xf>
    <xf numFmtId="38" fontId="16" fillId="0" borderId="0" xfId="17" applyFont="1" applyFill="1" applyBorder="1" applyAlignment="1">
      <alignment vertical="center"/>
    </xf>
    <xf numFmtId="38" fontId="2" fillId="0" borderId="0" xfId="17" applyFont="1" applyFill="1" applyAlignment="1">
      <alignment/>
    </xf>
    <xf numFmtId="38" fontId="2" fillId="0" borderId="0" xfId="17" applyFont="1" applyFill="1" applyAlignment="1">
      <alignment horizontal="center"/>
    </xf>
    <xf numFmtId="38" fontId="2" fillId="0" borderId="1" xfId="17" applyFont="1" applyFill="1" applyBorder="1" applyAlignment="1">
      <alignment horizontal="center"/>
    </xf>
    <xf numFmtId="38" fontId="2" fillId="0" borderId="0" xfId="17" applyFont="1" applyFill="1" applyAlignment="1">
      <alignment horizontal="left"/>
    </xf>
    <xf numFmtId="176" fontId="2" fillId="0" borderId="0" xfId="17" applyNumberFormat="1" applyFont="1" applyFill="1" applyAlignment="1">
      <alignment/>
    </xf>
    <xf numFmtId="38" fontId="2" fillId="0" borderId="0" xfId="17" applyFont="1" applyFill="1" applyBorder="1" applyAlignment="1">
      <alignment horizontal="left" vertical="center"/>
    </xf>
    <xf numFmtId="176" fontId="2" fillId="0" borderId="0" xfId="17" applyNumberFormat="1" applyFont="1" applyFill="1" applyAlignment="1">
      <alignment vertical="center"/>
    </xf>
    <xf numFmtId="38" fontId="2" fillId="0" borderId="0" xfId="17" applyFont="1" applyFill="1" applyAlignment="1">
      <alignment/>
    </xf>
    <xf numFmtId="38" fontId="2" fillId="0" borderId="2" xfId="17" applyFont="1" applyFill="1" applyBorder="1" applyAlignment="1">
      <alignment/>
    </xf>
    <xf numFmtId="0" fontId="2" fillId="0" borderId="0" xfId="0" applyFont="1" applyFill="1" applyAlignment="1">
      <alignment horizontal="left"/>
    </xf>
    <xf numFmtId="38" fontId="2" fillId="0" borderId="3" xfId="17" applyFont="1" applyFill="1" applyBorder="1" applyAlignment="1">
      <alignment horizontal="center" vertical="center"/>
    </xf>
    <xf numFmtId="38" fontId="2" fillId="0" borderId="4" xfId="17" applyFont="1" applyFill="1" applyBorder="1" applyAlignment="1">
      <alignment horizontal="center" vertical="center"/>
    </xf>
    <xf numFmtId="38" fontId="2" fillId="0" borderId="5" xfId="17" applyFont="1" applyFill="1" applyBorder="1" applyAlignment="1">
      <alignment horizontal="center" vertical="center"/>
    </xf>
    <xf numFmtId="38" fontId="2" fillId="0" borderId="6" xfId="17" applyFont="1" applyFill="1" applyBorder="1" applyAlignment="1">
      <alignment horizontal="center" vertical="center"/>
    </xf>
    <xf numFmtId="38" fontId="2" fillId="0" borderId="7" xfId="17" applyFont="1" applyFill="1" applyBorder="1" applyAlignment="1">
      <alignment horizontal="center" vertical="center"/>
    </xf>
    <xf numFmtId="38" fontId="2" fillId="0" borderId="8" xfId="17" applyFont="1" applyFill="1" applyBorder="1" applyAlignment="1">
      <alignment horizontal="center" vertical="center"/>
    </xf>
    <xf numFmtId="184" fontId="2" fillId="0" borderId="0" xfId="17" applyNumberFormat="1" applyFont="1" applyFill="1" applyAlignment="1">
      <alignment/>
    </xf>
    <xf numFmtId="184" fontId="2" fillId="0" borderId="0" xfId="0" applyNumberFormat="1" applyFont="1" applyFill="1" applyAlignment="1">
      <alignment/>
    </xf>
    <xf numFmtId="184" fontId="2" fillId="0" borderId="6" xfId="17" applyNumberFormat="1" applyFont="1" applyFill="1" applyBorder="1" applyAlignment="1">
      <alignment horizontal="center" vertical="center"/>
    </xf>
    <xf numFmtId="184" fontId="2" fillId="0" borderId="4" xfId="17" applyNumberFormat="1" applyFont="1" applyFill="1" applyBorder="1" applyAlignment="1">
      <alignment horizontal="center" vertical="center"/>
    </xf>
    <xf numFmtId="184" fontId="2" fillId="0" borderId="9" xfId="17" applyNumberFormat="1" applyFont="1" applyFill="1" applyBorder="1" applyAlignment="1">
      <alignment horizontal="center" vertical="center"/>
    </xf>
    <xf numFmtId="184" fontId="2" fillId="0" borderId="10" xfId="17" applyNumberFormat="1" applyFont="1" applyFill="1" applyBorder="1" applyAlignment="1">
      <alignment horizontal="center" vertical="center"/>
    </xf>
    <xf numFmtId="184" fontId="2" fillId="0" borderId="11" xfId="17" applyNumberFormat="1" applyFont="1" applyFill="1" applyBorder="1" applyAlignment="1">
      <alignment horizontal="center" vertical="center"/>
    </xf>
    <xf numFmtId="184" fontId="2" fillId="0" borderId="8" xfId="17" applyNumberFormat="1" applyFont="1" applyFill="1" applyBorder="1" applyAlignment="1">
      <alignment horizontal="center" vertical="center"/>
    </xf>
    <xf numFmtId="184" fontId="2" fillId="0" borderId="5" xfId="17" applyNumberFormat="1" applyFont="1" applyFill="1" applyBorder="1" applyAlignment="1">
      <alignment horizontal="center" vertical="center"/>
    </xf>
    <xf numFmtId="38" fontId="2" fillId="0" borderId="11" xfId="17" applyFont="1" applyFill="1" applyBorder="1" applyAlignment="1">
      <alignment horizontal="center" vertical="center"/>
    </xf>
    <xf numFmtId="38" fontId="2" fillId="0" borderId="2" xfId="17" applyFont="1" applyFill="1" applyBorder="1" applyAlignment="1">
      <alignment horizontal="center"/>
    </xf>
    <xf numFmtId="38" fontId="2" fillId="0" borderId="0" xfId="17" applyFont="1" applyFill="1" applyAlignment="1">
      <alignment horizontal="left" vertical="top" wrapText="1"/>
    </xf>
    <xf numFmtId="38" fontId="2" fillId="0" borderId="0" xfId="17" applyFont="1" applyFill="1" applyAlignment="1">
      <alignment vertical="center"/>
    </xf>
    <xf numFmtId="38" fontId="2" fillId="0" borderId="0" xfId="17" applyFont="1" applyFill="1" applyAlignment="1">
      <alignment horizontal="left" vertical="center"/>
    </xf>
    <xf numFmtId="199" fontId="2" fillId="0" borderId="0" xfId="17" applyNumberFormat="1" applyFont="1" applyFill="1" applyAlignment="1">
      <alignment vertical="center"/>
    </xf>
    <xf numFmtId="38" fontId="2" fillId="0" borderId="0" xfId="17" applyFont="1" applyFill="1" applyBorder="1" applyAlignment="1">
      <alignment/>
    </xf>
    <xf numFmtId="49" fontId="15" fillId="0" borderId="0" xfId="17" applyNumberFormat="1" applyFont="1" applyFill="1" applyAlignment="1">
      <alignment horizontal="left"/>
    </xf>
    <xf numFmtId="38" fontId="2" fillId="0" borderId="9" xfId="17" applyFont="1" applyFill="1" applyBorder="1" applyAlignment="1">
      <alignment horizontal="center" vertical="center"/>
    </xf>
    <xf numFmtId="38" fontId="2" fillId="0" borderId="10" xfId="17" applyFont="1" applyFill="1" applyBorder="1" applyAlignment="1">
      <alignment horizontal="center" vertical="center"/>
    </xf>
    <xf numFmtId="38" fontId="2" fillId="0" borderId="0" xfId="17" applyFont="1" applyFill="1" applyBorder="1" applyAlignment="1">
      <alignment horizontal="distributed" vertical="center"/>
    </xf>
    <xf numFmtId="38" fontId="2" fillId="0" borderId="0" xfId="17" applyFont="1" applyFill="1" applyBorder="1" applyAlignment="1">
      <alignment horizontal="center" vertical="center"/>
    </xf>
    <xf numFmtId="38" fontId="15" fillId="0" borderId="0" xfId="17" applyFont="1" applyFill="1" applyBorder="1" applyAlignment="1">
      <alignment/>
    </xf>
    <xf numFmtId="38" fontId="2" fillId="0" borderId="0" xfId="17" applyFont="1" applyFill="1" applyAlignment="1">
      <alignment horizontal="left" vertical="center" wrapText="1"/>
    </xf>
    <xf numFmtId="38" fontId="13" fillId="0" borderId="7" xfId="17" applyFont="1" applyFill="1" applyBorder="1" applyAlignment="1">
      <alignment horizontal="center" vertical="center"/>
    </xf>
    <xf numFmtId="38" fontId="17" fillId="0" borderId="3" xfId="17" applyFont="1" applyFill="1" applyBorder="1" applyAlignment="1">
      <alignment horizontal="center" vertical="center"/>
    </xf>
    <xf numFmtId="38" fontId="13" fillId="0" borderId="12" xfId="17" applyFont="1" applyFill="1" applyBorder="1" applyAlignment="1">
      <alignment horizontal="center" vertical="center"/>
    </xf>
    <xf numFmtId="38" fontId="17" fillId="0" borderId="13" xfId="17" applyFont="1" applyFill="1" applyBorder="1" applyAlignment="1">
      <alignment horizontal="center" vertical="center"/>
    </xf>
    <xf numFmtId="38" fontId="17" fillId="0" borderId="12" xfId="17" applyFont="1" applyFill="1" applyBorder="1" applyAlignment="1">
      <alignment horizontal="center" vertical="center"/>
    </xf>
    <xf numFmtId="179" fontId="2" fillId="0" borderId="0" xfId="17" applyNumberFormat="1" applyFont="1" applyFill="1" applyAlignment="1">
      <alignment horizontal="left" vertical="top"/>
    </xf>
    <xf numFmtId="189" fontId="2" fillId="0" borderId="0" xfId="0" applyNumberFormat="1" applyFont="1" applyFill="1" applyAlignment="1">
      <alignment/>
    </xf>
    <xf numFmtId="176" fontId="2" fillId="0" borderId="0" xfId="0" applyNumberFormat="1" applyFont="1" applyFill="1" applyAlignment="1">
      <alignment/>
    </xf>
    <xf numFmtId="0" fontId="2" fillId="0" borderId="0" xfId="0" applyFont="1" applyFill="1" applyAlignment="1">
      <alignment/>
    </xf>
    <xf numFmtId="189" fontId="2" fillId="0" borderId="0" xfId="0" applyNumberFormat="1" applyFont="1" applyFill="1" applyAlignment="1">
      <alignment horizontal="left"/>
    </xf>
    <xf numFmtId="177" fontId="2" fillId="0" borderId="0" xfId="0" applyNumberFormat="1" applyFont="1" applyFill="1" applyAlignment="1">
      <alignment/>
    </xf>
    <xf numFmtId="0" fontId="2" fillId="0" borderId="0" xfId="0" applyFont="1" applyFill="1" applyAlignment="1">
      <alignment horizontal="left" vertical="top" wrapText="1"/>
    </xf>
    <xf numFmtId="189" fontId="2" fillId="0" borderId="0" xfId="22" applyNumberFormat="1" applyFont="1" applyFill="1">
      <alignment/>
      <protection/>
    </xf>
    <xf numFmtId="176" fontId="2" fillId="0" borderId="0" xfId="22" applyNumberFormat="1" applyFont="1" applyFill="1">
      <alignment/>
      <protection/>
    </xf>
    <xf numFmtId="0" fontId="2" fillId="0" borderId="0" xfId="0" applyFont="1" applyFill="1" applyAlignment="1">
      <alignment horizontal="right"/>
    </xf>
    <xf numFmtId="0" fontId="2" fillId="0" borderId="0" xfId="0" applyFont="1" applyFill="1" applyAlignment="1">
      <alignment shrinkToFit="1"/>
    </xf>
    <xf numFmtId="38" fontId="2" fillId="0" borderId="14" xfId="17" applyFont="1" applyFill="1" applyBorder="1" applyAlignment="1">
      <alignment horizontal="center" vertical="center"/>
    </xf>
    <xf numFmtId="38" fontId="2" fillId="0" borderId="15" xfId="17" applyFont="1" applyFill="1" applyBorder="1" applyAlignment="1">
      <alignment horizontal="center" vertical="center"/>
    </xf>
    <xf numFmtId="38" fontId="2" fillId="2" borderId="0" xfId="17" applyFont="1" applyFill="1" applyAlignment="1">
      <alignment/>
    </xf>
    <xf numFmtId="38" fontId="2" fillId="2" borderId="0" xfId="17" applyFont="1" applyFill="1" applyAlignment="1">
      <alignment horizontal="center"/>
    </xf>
    <xf numFmtId="38" fontId="2" fillId="2" borderId="8" xfId="17" applyFont="1" applyFill="1" applyBorder="1" applyAlignment="1">
      <alignment horizontal="center" vertical="center"/>
    </xf>
    <xf numFmtId="38" fontId="2" fillId="2" borderId="16" xfId="17" applyFont="1" applyFill="1" applyBorder="1" applyAlignment="1">
      <alignment/>
    </xf>
    <xf numFmtId="38" fontId="2" fillId="0" borderId="1" xfId="17" applyFont="1" applyFill="1" applyBorder="1" applyAlignment="1">
      <alignment horizontal="center" vertical="center"/>
    </xf>
    <xf numFmtId="38" fontId="2" fillId="0" borderId="17" xfId="17" applyFont="1" applyFill="1" applyBorder="1" applyAlignment="1">
      <alignment horizontal="center" vertical="center"/>
    </xf>
    <xf numFmtId="38" fontId="2" fillId="0" borderId="18" xfId="17" applyFont="1" applyFill="1" applyBorder="1" applyAlignment="1">
      <alignment horizontal="center" vertical="center"/>
    </xf>
    <xf numFmtId="38" fontId="2" fillId="0" borderId="19" xfId="17" applyFont="1" applyFill="1" applyBorder="1" applyAlignment="1">
      <alignment horizontal="center" vertical="center"/>
    </xf>
    <xf numFmtId="38" fontId="2" fillId="0" borderId="20" xfId="17" applyFont="1" applyFill="1" applyBorder="1" applyAlignment="1">
      <alignment horizontal="center" vertical="center"/>
    </xf>
    <xf numFmtId="0" fontId="2" fillId="0" borderId="0" xfId="0" applyFont="1" applyFill="1" applyBorder="1" applyAlignment="1">
      <alignment vertical="center"/>
    </xf>
    <xf numFmtId="176" fontId="2" fillId="0" borderId="0" xfId="17" applyNumberFormat="1" applyFont="1" applyFill="1" applyAlignment="1">
      <alignment horizontal="right" vertical="center"/>
    </xf>
    <xf numFmtId="38" fontId="2" fillId="0" borderId="0" xfId="17" applyFont="1" applyFill="1" applyAlignment="1">
      <alignment horizontal="right"/>
    </xf>
    <xf numFmtId="189" fontId="2" fillId="0" borderId="0" xfId="0" applyNumberFormat="1" applyFont="1" applyFill="1" applyBorder="1" applyAlignment="1">
      <alignment horizontal="right"/>
    </xf>
    <xf numFmtId="176" fontId="2" fillId="0" borderId="0" xfId="0" applyNumberFormat="1" applyFont="1" applyFill="1" applyBorder="1" applyAlignment="1">
      <alignment horizontal="right"/>
    </xf>
    <xf numFmtId="38" fontId="2" fillId="0" borderId="0" xfId="17" applyFont="1" applyFill="1" applyBorder="1" applyAlignment="1">
      <alignment/>
    </xf>
    <xf numFmtId="0" fontId="2" fillId="0" borderId="0" xfId="0" applyFont="1" applyAlignment="1">
      <alignment/>
    </xf>
    <xf numFmtId="0" fontId="2" fillId="0" borderId="0" xfId="0" applyFont="1" applyFill="1" applyAlignment="1">
      <alignment horizontal="center"/>
    </xf>
    <xf numFmtId="0" fontId="12" fillId="0" borderId="0" xfId="0" applyFont="1" applyFill="1" applyAlignment="1">
      <alignment horizontal="left"/>
    </xf>
    <xf numFmtId="0" fontId="12" fillId="0" borderId="0" xfId="0" applyFont="1" applyFill="1" applyAlignment="1">
      <alignment wrapText="1"/>
    </xf>
    <xf numFmtId="184" fontId="2" fillId="0" borderId="21" xfId="17" applyNumberFormat="1" applyFont="1" applyFill="1" applyBorder="1" applyAlignment="1">
      <alignment horizontal="distributed" vertical="center"/>
    </xf>
    <xf numFmtId="184" fontId="2" fillId="0" borderId="22" xfId="17" applyNumberFormat="1" applyFont="1" applyFill="1" applyBorder="1" applyAlignment="1">
      <alignment horizontal="distributed" vertical="center"/>
    </xf>
    <xf numFmtId="38" fontId="13" fillId="0" borderId="7" xfId="17" applyFont="1" applyFill="1" applyBorder="1" applyAlignment="1">
      <alignment horizontal="center" vertical="center" wrapText="1"/>
    </xf>
    <xf numFmtId="184" fontId="2" fillId="0" borderId="23" xfId="17" applyNumberFormat="1" applyFont="1" applyFill="1" applyBorder="1" applyAlignment="1">
      <alignment horizontal="distributed" vertical="center"/>
    </xf>
    <xf numFmtId="184" fontId="2" fillId="0" borderId="0" xfId="17" applyNumberFormat="1" applyFont="1" applyFill="1" applyBorder="1" applyAlignment="1">
      <alignment vertical="center"/>
    </xf>
    <xf numFmtId="184" fontId="2" fillId="0" borderId="0" xfId="17" applyNumberFormat="1" applyFont="1" applyFill="1" applyBorder="1" applyAlignment="1">
      <alignment horizontal="right" vertical="center"/>
    </xf>
    <xf numFmtId="184" fontId="2" fillId="0" borderId="0" xfId="0" applyNumberFormat="1" applyFont="1" applyFill="1" applyBorder="1" applyAlignment="1">
      <alignment horizontal="right" vertical="center"/>
    </xf>
    <xf numFmtId="0" fontId="13" fillId="0" borderId="22" xfId="0" applyFont="1" applyFill="1" applyBorder="1" applyAlignment="1">
      <alignment horizontal="center"/>
    </xf>
    <xf numFmtId="0" fontId="13" fillId="0" borderId="22" xfId="0" applyFont="1" applyFill="1" applyBorder="1" applyAlignment="1">
      <alignment horizontal="distributed"/>
    </xf>
    <xf numFmtId="38" fontId="2" fillId="0" borderId="11" xfId="17" applyFont="1" applyFill="1" applyBorder="1" applyAlignment="1">
      <alignment horizontal="center" vertical="center" wrapText="1"/>
    </xf>
    <xf numFmtId="38" fontId="2" fillId="0" borderId="8" xfId="17" applyFont="1" applyFill="1" applyBorder="1" applyAlignment="1">
      <alignment horizontal="center"/>
    </xf>
    <xf numFmtId="38" fontId="2" fillId="0" borderId="24" xfId="17" applyFont="1" applyFill="1" applyBorder="1" applyAlignment="1">
      <alignment horizontal="center"/>
    </xf>
    <xf numFmtId="38" fontId="2" fillId="0" borderId="3" xfId="17" applyFont="1" applyFill="1" applyBorder="1" applyAlignment="1">
      <alignment horizontal="center" vertical="center" wrapText="1"/>
    </xf>
    <xf numFmtId="38" fontId="2" fillId="0" borderId="22" xfId="17" applyFont="1" applyFill="1" applyBorder="1" applyAlignment="1">
      <alignment horizontal="distributed"/>
    </xf>
    <xf numFmtId="38" fontId="2" fillId="0" borderId="25" xfId="17" applyFont="1" applyFill="1" applyBorder="1" applyAlignment="1">
      <alignment horizontal="distributed"/>
    </xf>
    <xf numFmtId="38" fontId="2" fillId="0" borderId="21" xfId="17" applyFont="1" applyFill="1" applyBorder="1" applyAlignment="1">
      <alignment horizontal="center"/>
    </xf>
    <xf numFmtId="38" fontId="2" fillId="0" borderId="22" xfId="17" applyFont="1" applyFill="1" applyBorder="1" applyAlignment="1">
      <alignment horizontal="center"/>
    </xf>
    <xf numFmtId="38" fontId="2" fillId="0" borderId="12" xfId="17" applyFont="1" applyFill="1" applyBorder="1" applyAlignment="1">
      <alignment horizontal="center" vertical="center" wrapText="1"/>
    </xf>
    <xf numFmtId="38" fontId="2" fillId="0" borderId="26" xfId="17" applyFont="1" applyFill="1" applyBorder="1" applyAlignment="1">
      <alignment horizontal="center" vertical="center" wrapText="1"/>
    </xf>
    <xf numFmtId="38" fontId="2" fillId="0" borderId="27" xfId="17" applyFont="1" applyFill="1" applyBorder="1" applyAlignment="1">
      <alignment horizontal="distributed"/>
    </xf>
    <xf numFmtId="38" fontId="2" fillId="0" borderId="11" xfId="17" applyFont="1" applyFill="1" applyBorder="1" applyAlignment="1">
      <alignment horizontal="center"/>
    </xf>
    <xf numFmtId="38" fontId="2" fillId="0" borderId="9" xfId="17" applyFont="1" applyFill="1" applyBorder="1" applyAlignment="1">
      <alignment horizontal="center"/>
    </xf>
    <xf numFmtId="38" fontId="2" fillId="0" borderId="28" xfId="17" applyFont="1" applyFill="1" applyBorder="1" applyAlignment="1">
      <alignment horizontal="center" vertical="center"/>
    </xf>
    <xf numFmtId="38" fontId="2" fillId="2" borderId="11" xfId="17" applyFont="1" applyFill="1" applyBorder="1" applyAlignment="1">
      <alignment horizontal="center" vertical="center"/>
    </xf>
    <xf numFmtId="38" fontId="2" fillId="2" borderId="27" xfId="17" applyFont="1" applyFill="1" applyBorder="1" applyAlignment="1">
      <alignment horizontal="distributed" vertical="center"/>
    </xf>
    <xf numFmtId="38" fontId="2" fillId="2" borderId="22" xfId="17" applyFont="1" applyFill="1" applyBorder="1" applyAlignment="1">
      <alignment horizontal="distributed" vertical="center"/>
    </xf>
    <xf numFmtId="38" fontId="2" fillId="2" borderId="25" xfId="17" applyFont="1" applyFill="1" applyBorder="1" applyAlignment="1">
      <alignment horizontal="distributed" vertical="center"/>
    </xf>
    <xf numFmtId="38" fontId="2" fillId="2" borderId="9" xfId="17" applyFont="1" applyFill="1" applyBorder="1" applyAlignment="1">
      <alignment horizontal="distributed" vertical="center"/>
    </xf>
    <xf numFmtId="38" fontId="13" fillId="0" borderId="3" xfId="17" applyFont="1" applyFill="1" applyBorder="1" applyAlignment="1">
      <alignment horizontal="center" vertical="center"/>
    </xf>
    <xf numFmtId="38" fontId="20" fillId="0" borderId="0" xfId="17" applyFont="1" applyFill="1" applyAlignment="1">
      <alignment/>
    </xf>
    <xf numFmtId="0" fontId="13" fillId="0" borderId="29" xfId="0" applyFont="1" applyFill="1" applyBorder="1" applyAlignment="1">
      <alignment horizontal="distributed"/>
    </xf>
    <xf numFmtId="38" fontId="2" fillId="0" borderId="30" xfId="17" applyFont="1" applyFill="1" applyBorder="1" applyAlignment="1">
      <alignment horizontal="center" vertical="center"/>
    </xf>
    <xf numFmtId="38" fontId="2" fillId="0" borderId="31" xfId="17" applyFont="1" applyFill="1" applyBorder="1" applyAlignment="1">
      <alignment horizontal="center" vertical="center"/>
    </xf>
    <xf numFmtId="38" fontId="2" fillId="0" borderId="24" xfId="17" applyFont="1" applyFill="1" applyBorder="1" applyAlignment="1">
      <alignment horizontal="center" vertical="center"/>
    </xf>
    <xf numFmtId="184" fontId="2" fillId="0" borderId="1" xfId="17" applyNumberFormat="1" applyFont="1" applyFill="1" applyBorder="1" applyAlignment="1">
      <alignment horizontal="center" vertical="center"/>
    </xf>
    <xf numFmtId="38" fontId="2" fillId="0" borderId="22" xfId="17" applyFont="1" applyFill="1" applyBorder="1" applyAlignment="1">
      <alignment horizontal="center" vertical="center"/>
    </xf>
    <xf numFmtId="38" fontId="2" fillId="0" borderId="0" xfId="17" applyFont="1" applyFill="1" applyBorder="1" applyAlignment="1">
      <alignment horizontal="right" vertical="center"/>
    </xf>
    <xf numFmtId="38" fontId="2" fillId="0" borderId="22" xfId="17" applyFont="1" applyFill="1" applyBorder="1" applyAlignment="1">
      <alignment horizontal="distributed" vertical="center"/>
    </xf>
    <xf numFmtId="38" fontId="2" fillId="0" borderId="9" xfId="17" applyFont="1" applyFill="1" applyBorder="1" applyAlignment="1">
      <alignment horizontal="distributed" vertical="center"/>
    </xf>
    <xf numFmtId="38" fontId="13" fillId="0" borderId="0" xfId="17" applyFont="1" applyFill="1" applyAlignment="1">
      <alignment/>
    </xf>
    <xf numFmtId="38" fontId="2" fillId="0" borderId="32" xfId="17" applyFont="1" applyFill="1" applyBorder="1" applyAlignment="1">
      <alignment vertical="center"/>
    </xf>
    <xf numFmtId="38" fontId="2" fillId="0" borderId="24" xfId="17" applyFont="1" applyFill="1" applyBorder="1" applyAlignment="1">
      <alignment vertical="center"/>
    </xf>
    <xf numFmtId="38" fontId="2" fillId="0" borderId="33" xfId="17" applyFont="1" applyFill="1" applyBorder="1" applyAlignment="1">
      <alignment vertical="center"/>
    </xf>
    <xf numFmtId="38" fontId="2" fillId="0" borderId="34" xfId="17" applyFont="1" applyFill="1" applyBorder="1" applyAlignment="1">
      <alignment vertical="center"/>
    </xf>
    <xf numFmtId="38" fontId="2" fillId="0" borderId="35" xfId="17" applyFont="1" applyFill="1" applyBorder="1" applyAlignment="1">
      <alignment vertical="center"/>
    </xf>
    <xf numFmtId="0" fontId="2" fillId="0" borderId="0" xfId="0" applyFont="1" applyFill="1" applyAlignment="1">
      <alignment wrapText="1"/>
    </xf>
    <xf numFmtId="0" fontId="2" fillId="0" borderId="0" xfId="0" applyFont="1" applyFill="1" applyBorder="1" applyAlignment="1">
      <alignment/>
    </xf>
    <xf numFmtId="189" fontId="2" fillId="0" borderId="0" xfId="0" applyNumberFormat="1" applyFont="1" applyFill="1" applyBorder="1" applyAlignment="1">
      <alignment vertical="center" wrapText="1"/>
    </xf>
    <xf numFmtId="189" fontId="13" fillId="0" borderId="0" xfId="0" applyNumberFormat="1" applyFont="1" applyFill="1" applyBorder="1" applyAlignment="1">
      <alignment vertical="center" wrapText="1"/>
    </xf>
    <xf numFmtId="0" fontId="13" fillId="0" borderId="0" xfId="0" applyFont="1" applyFill="1" applyBorder="1" applyAlignment="1">
      <alignment vertical="center" wrapText="1"/>
    </xf>
    <xf numFmtId="177" fontId="13" fillId="0" borderId="0" xfId="0" applyNumberFormat="1" applyFont="1" applyFill="1" applyAlignment="1">
      <alignment/>
    </xf>
    <xf numFmtId="176" fontId="13" fillId="0" borderId="0" xfId="23" applyNumberFormat="1" applyFont="1" applyFill="1">
      <alignment/>
      <protection/>
    </xf>
    <xf numFmtId="0" fontId="13" fillId="0" borderId="0" xfId="0" applyFont="1" applyFill="1" applyAlignment="1">
      <alignment/>
    </xf>
    <xf numFmtId="0" fontId="0" fillId="0" borderId="0" xfId="0" applyFont="1" applyAlignment="1">
      <alignment/>
    </xf>
    <xf numFmtId="189" fontId="13" fillId="0" borderId="0" xfId="0" applyNumberFormat="1" applyFont="1" applyFill="1" applyBorder="1" applyAlignment="1">
      <alignment horizontal="right"/>
    </xf>
    <xf numFmtId="176" fontId="13" fillId="0" borderId="0" xfId="0" applyNumberFormat="1" applyFont="1" applyFill="1" applyBorder="1" applyAlignment="1">
      <alignment horizontal="right"/>
    </xf>
    <xf numFmtId="0" fontId="2" fillId="0" borderId="0" xfId="0" applyFont="1" applyAlignment="1">
      <alignment/>
    </xf>
    <xf numFmtId="49" fontId="2" fillId="0" borderId="0" xfId="0" applyNumberFormat="1" applyFont="1" applyFill="1" applyAlignment="1">
      <alignment/>
    </xf>
    <xf numFmtId="189" fontId="13" fillId="0" borderId="0" xfId="0" applyNumberFormat="1" applyFont="1" applyAlignment="1">
      <alignment/>
    </xf>
    <xf numFmtId="189" fontId="13" fillId="0" borderId="1" xfId="0" applyNumberFormat="1" applyFont="1" applyFill="1" applyBorder="1" applyAlignment="1">
      <alignment/>
    </xf>
    <xf numFmtId="176" fontId="13" fillId="0" borderId="1" xfId="0" applyNumberFormat="1"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56" fontId="0" fillId="0" borderId="0" xfId="0" applyNumberFormat="1" applyFont="1" applyFill="1" applyAlignment="1">
      <alignment horizontal="center"/>
    </xf>
    <xf numFmtId="0" fontId="21" fillId="0" borderId="0" xfId="0" applyFont="1" applyFill="1" applyBorder="1" applyAlignment="1">
      <alignment horizontal="left"/>
    </xf>
    <xf numFmtId="0" fontId="19" fillId="0" borderId="0" xfId="0" applyFont="1" applyBorder="1" applyAlignment="1">
      <alignment/>
    </xf>
    <xf numFmtId="0" fontId="22" fillId="0" borderId="0" xfId="0" applyFont="1" applyFill="1" applyBorder="1" applyAlignment="1">
      <alignment horizontal="right"/>
    </xf>
    <xf numFmtId="0" fontId="0" fillId="0" borderId="0" xfId="0" applyFont="1" applyFill="1" applyAlignment="1">
      <alignment wrapText="1"/>
    </xf>
    <xf numFmtId="0" fontId="2"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Border="1" applyAlignment="1">
      <alignment/>
    </xf>
    <xf numFmtId="189" fontId="13" fillId="0" borderId="1" xfId="22" applyNumberFormat="1" applyFont="1" applyFill="1" applyBorder="1">
      <alignment/>
      <protection/>
    </xf>
    <xf numFmtId="176" fontId="13" fillId="0" borderId="1" xfId="22" applyNumberFormat="1" applyFont="1" applyFill="1" applyBorder="1">
      <alignment/>
      <protection/>
    </xf>
    <xf numFmtId="176" fontId="0" fillId="0" borderId="0" xfId="22" applyNumberFormat="1" applyFont="1" applyFill="1">
      <alignment/>
      <protection/>
    </xf>
    <xf numFmtId="189" fontId="0" fillId="0" borderId="0" xfId="22" applyNumberFormat="1" applyFont="1" applyFill="1">
      <alignment/>
      <protection/>
    </xf>
    <xf numFmtId="0" fontId="0" fillId="0" borderId="0" xfId="22" applyFont="1" applyFill="1">
      <alignment/>
      <protection/>
    </xf>
    <xf numFmtId="189" fontId="13" fillId="0" borderId="1" xfId="0" applyNumberFormat="1" applyFont="1" applyFill="1" applyBorder="1" applyAlignment="1">
      <alignment/>
    </xf>
    <xf numFmtId="176" fontId="13" fillId="0" borderId="1" xfId="0" applyNumberFormat="1" applyFont="1" applyFill="1" applyBorder="1" applyAlignment="1">
      <alignment/>
    </xf>
    <xf numFmtId="189" fontId="13" fillId="0" borderId="1" xfId="0" applyNumberFormat="1" applyFont="1" applyFill="1" applyBorder="1" applyAlignment="1">
      <alignment horizontal="right"/>
    </xf>
    <xf numFmtId="189" fontId="13" fillId="0" borderId="1" xfId="23" applyNumberFormat="1" applyFont="1" applyFill="1" applyBorder="1" applyAlignment="1">
      <alignment/>
      <protection/>
    </xf>
    <xf numFmtId="176" fontId="13" fillId="0" borderId="1" xfId="23" applyNumberFormat="1" applyFont="1" applyFill="1" applyBorder="1" applyAlignment="1">
      <alignment/>
      <protection/>
    </xf>
    <xf numFmtId="189" fontId="13" fillId="0" borderId="1" xfId="0" applyNumberFormat="1" applyFont="1" applyFill="1" applyBorder="1" applyAlignment="1">
      <alignment shrinkToFit="1"/>
    </xf>
    <xf numFmtId="0" fontId="13" fillId="0" borderId="1" xfId="0" applyFont="1" applyFill="1" applyBorder="1" applyAlignment="1">
      <alignment/>
    </xf>
    <xf numFmtId="176" fontId="13" fillId="0" borderId="1" xfId="0" applyNumberFormat="1" applyFont="1" applyFill="1" applyBorder="1" applyAlignment="1">
      <alignment horizontal="right"/>
    </xf>
    <xf numFmtId="189" fontId="13" fillId="0" borderId="1" xfId="0" applyNumberFormat="1" applyFont="1" applyFill="1" applyBorder="1" applyAlignment="1">
      <alignment vertical="top" wrapText="1"/>
    </xf>
    <xf numFmtId="189" fontId="13" fillId="0" borderId="1" xfId="0" applyNumberFormat="1" applyFont="1" applyFill="1" applyBorder="1" applyAlignment="1">
      <alignment vertical="center"/>
    </xf>
    <xf numFmtId="176" fontId="23" fillId="0" borderId="1" xfId="0" applyNumberFormat="1" applyFont="1" applyFill="1" applyBorder="1" applyAlignment="1">
      <alignment vertical="center" wrapText="1"/>
    </xf>
    <xf numFmtId="176" fontId="13" fillId="0" borderId="1" xfId="0" applyNumberFormat="1" applyFont="1" applyFill="1" applyBorder="1" applyAlignment="1">
      <alignment vertical="center" wrapText="1"/>
    </xf>
    <xf numFmtId="38" fontId="2" fillId="0" borderId="27" xfId="17" applyFont="1" applyFill="1" applyBorder="1" applyAlignment="1">
      <alignment horizontal="distributed" vertical="center"/>
    </xf>
    <xf numFmtId="38" fontId="2" fillId="0" borderId="36" xfId="17" applyFont="1" applyFill="1" applyBorder="1" applyAlignment="1">
      <alignment vertical="center"/>
    </xf>
    <xf numFmtId="38" fontId="2" fillId="0" borderId="37" xfId="17" applyFont="1" applyFill="1" applyBorder="1" applyAlignment="1">
      <alignment vertical="center"/>
    </xf>
    <xf numFmtId="38" fontId="2" fillId="0" borderId="38" xfId="17" applyFont="1" applyFill="1" applyBorder="1" applyAlignment="1">
      <alignment vertical="center"/>
    </xf>
    <xf numFmtId="38" fontId="2" fillId="0" borderId="39" xfId="17" applyFont="1" applyFill="1" applyBorder="1" applyAlignment="1">
      <alignment vertical="center"/>
    </xf>
    <xf numFmtId="38" fontId="2" fillId="0" borderId="40" xfId="17" applyFont="1" applyFill="1" applyBorder="1" applyAlignment="1">
      <alignment vertical="center"/>
    </xf>
    <xf numFmtId="38" fontId="2" fillId="0" borderId="41" xfId="17" applyFont="1" applyFill="1" applyBorder="1" applyAlignment="1">
      <alignment vertical="center"/>
    </xf>
    <xf numFmtId="38" fontId="2" fillId="0" borderId="42" xfId="17" applyFont="1" applyFill="1" applyBorder="1" applyAlignment="1">
      <alignment vertical="center"/>
    </xf>
    <xf numFmtId="38" fontId="2" fillId="0" borderId="43" xfId="17" applyFont="1" applyFill="1" applyBorder="1" applyAlignment="1">
      <alignment vertical="center"/>
    </xf>
    <xf numFmtId="38" fontId="2" fillId="0" borderId="20" xfId="17" applyFont="1" applyFill="1" applyBorder="1" applyAlignment="1">
      <alignment vertical="center"/>
    </xf>
    <xf numFmtId="38" fontId="2" fillId="0" borderId="44" xfId="17" applyFont="1" applyFill="1" applyBorder="1" applyAlignment="1">
      <alignment vertical="center"/>
    </xf>
    <xf numFmtId="38" fontId="2" fillId="0" borderId="45" xfId="17" applyFont="1" applyFill="1" applyBorder="1" applyAlignment="1">
      <alignment vertical="center"/>
    </xf>
    <xf numFmtId="38" fontId="2" fillId="0" borderId="46" xfId="17" applyFont="1" applyFill="1" applyBorder="1" applyAlignment="1">
      <alignment vertical="center"/>
    </xf>
    <xf numFmtId="38" fontId="2" fillId="0" borderId="18" xfId="17" applyFont="1" applyFill="1" applyBorder="1" applyAlignment="1">
      <alignment vertical="center"/>
    </xf>
    <xf numFmtId="38" fontId="2" fillId="0" borderId="47" xfId="17" applyFont="1" applyFill="1" applyBorder="1" applyAlignment="1">
      <alignment vertical="center"/>
    </xf>
    <xf numFmtId="38" fontId="2" fillId="0" borderId="21" xfId="17" applyFont="1" applyFill="1" applyBorder="1" applyAlignment="1">
      <alignment horizontal="distributed" vertical="center"/>
    </xf>
    <xf numFmtId="38" fontId="2" fillId="0" borderId="48" xfId="17" applyFont="1" applyFill="1" applyBorder="1" applyAlignment="1">
      <alignment vertical="center"/>
    </xf>
    <xf numFmtId="38" fontId="2" fillId="0" borderId="49" xfId="17" applyFont="1" applyFill="1" applyBorder="1" applyAlignment="1">
      <alignment vertical="center"/>
    </xf>
    <xf numFmtId="38" fontId="2" fillId="0" borderId="50" xfId="17" applyFont="1" applyFill="1" applyBorder="1" applyAlignment="1">
      <alignment vertical="center"/>
    </xf>
    <xf numFmtId="38" fontId="2" fillId="0" borderId="51" xfId="17" applyFont="1" applyFill="1" applyBorder="1" applyAlignment="1">
      <alignment vertical="center"/>
    </xf>
    <xf numFmtId="38" fontId="2" fillId="0" borderId="52" xfId="17" applyFont="1" applyFill="1" applyBorder="1" applyAlignment="1">
      <alignment horizontal="distributed" vertical="center"/>
    </xf>
    <xf numFmtId="38" fontId="2" fillId="0" borderId="53" xfId="17" applyFont="1" applyFill="1" applyBorder="1" applyAlignment="1">
      <alignment vertical="center"/>
    </xf>
    <xf numFmtId="38" fontId="2" fillId="0" borderId="54" xfId="17" applyFont="1" applyFill="1" applyBorder="1" applyAlignment="1">
      <alignment vertical="center"/>
    </xf>
    <xf numFmtId="38" fontId="2" fillId="0" borderId="27" xfId="17" applyFont="1" applyFill="1" applyBorder="1" applyAlignment="1">
      <alignment vertical="center"/>
    </xf>
    <xf numFmtId="38" fontId="2" fillId="0" borderId="55" xfId="17" applyFont="1" applyFill="1" applyBorder="1" applyAlignment="1">
      <alignment vertical="center"/>
    </xf>
    <xf numFmtId="38" fontId="2" fillId="0" borderId="56" xfId="17" applyFont="1" applyFill="1" applyBorder="1" applyAlignment="1">
      <alignment vertical="center"/>
    </xf>
    <xf numFmtId="38" fontId="2" fillId="0" borderId="57" xfId="17" applyFont="1" applyFill="1" applyBorder="1" applyAlignment="1">
      <alignment vertical="center"/>
    </xf>
    <xf numFmtId="38" fontId="2" fillId="0" borderId="58" xfId="17" applyFont="1" applyFill="1" applyBorder="1" applyAlignment="1">
      <alignment vertical="center"/>
    </xf>
    <xf numFmtId="38" fontId="2" fillId="0" borderId="22" xfId="17" applyFont="1" applyFill="1" applyBorder="1" applyAlignment="1">
      <alignment vertical="center"/>
    </xf>
    <xf numFmtId="38" fontId="2" fillId="0" borderId="59" xfId="17" applyFont="1" applyFill="1" applyBorder="1" applyAlignment="1">
      <alignment vertical="center"/>
    </xf>
    <xf numFmtId="209" fontId="2" fillId="0" borderId="25" xfId="17" applyNumberFormat="1" applyFont="1" applyFill="1" applyBorder="1" applyAlignment="1">
      <alignment horizontal="distributed" vertical="center"/>
    </xf>
    <xf numFmtId="38" fontId="2" fillId="0" borderId="60" xfId="17" applyFont="1" applyFill="1" applyBorder="1" applyAlignment="1">
      <alignment vertical="center"/>
    </xf>
    <xf numFmtId="38" fontId="2" fillId="0" borderId="14" xfId="17" applyFont="1" applyFill="1" applyBorder="1" applyAlignment="1">
      <alignment vertical="center"/>
    </xf>
    <xf numFmtId="38" fontId="2" fillId="0" borderId="25" xfId="17" applyFont="1" applyFill="1" applyBorder="1" applyAlignment="1">
      <alignment vertical="center"/>
    </xf>
    <xf numFmtId="38" fontId="2" fillId="0" borderId="61" xfId="17" applyFont="1" applyFill="1" applyBorder="1" applyAlignment="1">
      <alignment vertical="center"/>
    </xf>
    <xf numFmtId="38" fontId="2" fillId="0" borderId="17" xfId="17" applyFont="1" applyFill="1" applyBorder="1" applyAlignment="1">
      <alignment vertical="center"/>
    </xf>
    <xf numFmtId="38" fontId="2" fillId="0" borderId="25" xfId="17" applyFont="1" applyFill="1" applyBorder="1" applyAlignment="1">
      <alignment horizontal="distributed" vertical="center"/>
    </xf>
    <xf numFmtId="38" fontId="2" fillId="0" borderId="62" xfId="17" applyFont="1" applyFill="1" applyBorder="1" applyAlignment="1">
      <alignment vertical="center"/>
    </xf>
    <xf numFmtId="38" fontId="2" fillId="0" borderId="28" xfId="17" applyFont="1" applyFill="1" applyBorder="1" applyAlignment="1">
      <alignment vertical="center"/>
    </xf>
    <xf numFmtId="38" fontId="2" fillId="0" borderId="3" xfId="17" applyFont="1" applyFill="1" applyBorder="1" applyAlignment="1">
      <alignment vertical="center"/>
    </xf>
    <xf numFmtId="38" fontId="2" fillId="0" borderId="9" xfId="17" applyFont="1" applyFill="1" applyBorder="1" applyAlignment="1">
      <alignment vertical="center"/>
    </xf>
    <xf numFmtId="38" fontId="2" fillId="0" borderId="10" xfId="17" applyFont="1" applyFill="1" applyBorder="1" applyAlignment="1">
      <alignment vertical="center"/>
    </xf>
    <xf numFmtId="38" fontId="2" fillId="0" borderId="11" xfId="17" applyFont="1" applyFill="1" applyBorder="1" applyAlignment="1">
      <alignment vertical="center"/>
    </xf>
    <xf numFmtId="38" fontId="2" fillId="0" borderId="5" xfId="17" applyFont="1" applyFill="1" applyBorder="1" applyAlignment="1">
      <alignment vertical="center"/>
    </xf>
    <xf numFmtId="38" fontId="2" fillId="0" borderId="63" xfId="17" applyFont="1" applyFill="1" applyBorder="1" applyAlignment="1">
      <alignment vertical="center"/>
    </xf>
    <xf numFmtId="38" fontId="2" fillId="0" borderId="23" xfId="17" applyFont="1" applyFill="1" applyBorder="1" applyAlignment="1">
      <alignment vertical="center"/>
    </xf>
    <xf numFmtId="38" fontId="2" fillId="0" borderId="56" xfId="17" applyFont="1" applyFill="1" applyBorder="1" applyAlignment="1">
      <alignment horizontal="distributed" vertical="center"/>
    </xf>
    <xf numFmtId="38" fontId="2" fillId="0" borderId="64" xfId="17" applyFont="1" applyFill="1" applyBorder="1" applyAlignment="1">
      <alignment vertical="center"/>
    </xf>
    <xf numFmtId="38" fontId="2" fillId="0" borderId="65" xfId="17" applyFont="1" applyFill="1" applyBorder="1" applyAlignment="1">
      <alignment vertical="center"/>
    </xf>
    <xf numFmtId="38" fontId="2" fillId="0" borderId="66" xfId="17" applyFont="1" applyFill="1" applyBorder="1" applyAlignment="1">
      <alignment vertical="center"/>
    </xf>
    <xf numFmtId="38" fontId="2" fillId="0" borderId="17" xfId="17" applyFont="1" applyFill="1" applyBorder="1" applyAlignment="1">
      <alignment horizontal="distributed" vertical="center"/>
    </xf>
    <xf numFmtId="38" fontId="2" fillId="0" borderId="19" xfId="17" applyFont="1" applyFill="1" applyBorder="1" applyAlignment="1">
      <alignment vertical="center"/>
    </xf>
    <xf numFmtId="38" fontId="2" fillId="0" borderId="15" xfId="17" applyFont="1" applyFill="1" applyBorder="1" applyAlignment="1">
      <alignment vertical="center"/>
    </xf>
    <xf numFmtId="38" fontId="2" fillId="0" borderId="2" xfId="17" applyFont="1" applyFill="1" applyBorder="1" applyAlignment="1">
      <alignment horizontal="distributed" vertical="center"/>
    </xf>
    <xf numFmtId="38" fontId="2" fillId="0" borderId="67" xfId="17" applyFont="1" applyFill="1" applyBorder="1" applyAlignment="1">
      <alignment vertical="center"/>
    </xf>
    <xf numFmtId="38" fontId="2" fillId="0" borderId="68" xfId="17" applyFont="1" applyFill="1" applyBorder="1" applyAlignment="1">
      <alignment vertical="center"/>
    </xf>
    <xf numFmtId="38" fontId="2" fillId="0" borderId="69" xfId="17" applyFont="1" applyFill="1" applyBorder="1" applyAlignment="1">
      <alignment vertical="center"/>
    </xf>
    <xf numFmtId="38" fontId="2" fillId="0" borderId="62" xfId="17" applyFont="1" applyFill="1" applyBorder="1" applyAlignment="1">
      <alignment horizontal="distributed" vertical="center"/>
    </xf>
    <xf numFmtId="38" fontId="2" fillId="0" borderId="1" xfId="17" applyFont="1" applyFill="1" applyBorder="1" applyAlignment="1">
      <alignment vertical="center"/>
    </xf>
    <xf numFmtId="38" fontId="2" fillId="0" borderId="23" xfId="17" applyFont="1" applyFill="1" applyBorder="1" applyAlignment="1">
      <alignment horizontal="distributed" vertical="center"/>
    </xf>
    <xf numFmtId="38" fontId="2" fillId="0" borderId="4" xfId="17" applyFont="1" applyFill="1" applyBorder="1" applyAlignment="1">
      <alignment vertical="center"/>
    </xf>
    <xf numFmtId="38" fontId="15" fillId="0" borderId="0" xfId="17" applyFont="1" applyFill="1" applyAlignment="1">
      <alignment/>
    </xf>
    <xf numFmtId="38" fontId="2" fillId="0" borderId="24" xfId="17" applyFont="1" applyFill="1" applyBorder="1" applyAlignment="1">
      <alignment horizontal="right" vertical="center"/>
    </xf>
    <xf numFmtId="38" fontId="2" fillId="0" borderId="6" xfId="17" applyFont="1" applyFill="1" applyBorder="1" applyAlignment="1">
      <alignment horizontal="center" wrapText="1"/>
    </xf>
    <xf numFmtId="38" fontId="2" fillId="0" borderId="8" xfId="17" applyFont="1" applyFill="1" applyBorder="1" applyAlignment="1">
      <alignment horizontal="center" wrapText="1"/>
    </xf>
    <xf numFmtId="38" fontId="2" fillId="0" borderId="11" xfId="17" applyFont="1" applyFill="1" applyBorder="1" applyAlignment="1">
      <alignment horizontal="center" wrapText="1"/>
    </xf>
    <xf numFmtId="184" fontId="2" fillId="0" borderId="70" xfId="17" applyNumberFormat="1" applyFont="1" applyFill="1" applyBorder="1" applyAlignment="1">
      <alignment vertical="center"/>
    </xf>
    <xf numFmtId="184" fontId="2" fillId="0" borderId="1" xfId="17" applyNumberFormat="1" applyFont="1" applyFill="1" applyBorder="1" applyAlignment="1">
      <alignment vertical="center"/>
    </xf>
    <xf numFmtId="184" fontId="2" fillId="0" borderId="24" xfId="17" applyNumberFormat="1" applyFont="1" applyFill="1" applyBorder="1" applyAlignment="1">
      <alignment vertical="center"/>
    </xf>
    <xf numFmtId="184" fontId="2" fillId="0" borderId="0" xfId="17" applyNumberFormat="1" applyFont="1" applyFill="1" applyBorder="1" applyAlignment="1">
      <alignment/>
    </xf>
    <xf numFmtId="184" fontId="2" fillId="0" borderId="0" xfId="17" applyNumberFormat="1" applyFont="1" applyFill="1" applyBorder="1" applyAlignment="1">
      <alignment horizontal="right"/>
    </xf>
    <xf numFmtId="38" fontId="2" fillId="0" borderId="71" xfId="17" applyFont="1" applyFill="1" applyBorder="1" applyAlignment="1">
      <alignment vertical="center"/>
    </xf>
    <xf numFmtId="199" fontId="2" fillId="0" borderId="0" xfId="17" applyNumberFormat="1" applyFont="1" applyFill="1" applyAlignment="1">
      <alignment/>
    </xf>
    <xf numFmtId="189" fontId="2" fillId="0" borderId="0" xfId="17" applyNumberFormat="1" applyFont="1" applyFill="1" applyAlignment="1">
      <alignment horizontal="right"/>
    </xf>
    <xf numFmtId="38" fontId="13" fillId="0" borderId="0" xfId="17" applyFont="1" applyFill="1" applyBorder="1" applyAlignment="1">
      <alignment horizontal="left" vertical="center"/>
    </xf>
    <xf numFmtId="0" fontId="2" fillId="0" borderId="0" xfId="0" applyFont="1" applyFill="1" applyBorder="1" applyAlignment="1">
      <alignment horizontal="left" vertical="center"/>
    </xf>
    <xf numFmtId="38" fontId="0" fillId="0" borderId="0" xfId="17" applyFont="1" applyFill="1" applyAlignment="1">
      <alignment/>
    </xf>
    <xf numFmtId="0" fontId="0" fillId="0" borderId="0" xfId="0" applyFont="1" applyAlignment="1">
      <alignment wrapText="1"/>
    </xf>
    <xf numFmtId="38" fontId="2" fillId="0" borderId="2" xfId="17" applyFont="1" applyFill="1" applyBorder="1" applyAlignment="1">
      <alignment horizontal="left" vertical="center"/>
    </xf>
    <xf numFmtId="177" fontId="2" fillId="0" borderId="0" xfId="17" applyNumberFormat="1" applyFont="1" applyFill="1" applyAlignment="1">
      <alignment vertical="center"/>
    </xf>
    <xf numFmtId="38" fontId="2" fillId="0" borderId="21" xfId="17" applyFont="1" applyFill="1" applyBorder="1" applyAlignment="1">
      <alignment horizontal="distributed"/>
    </xf>
    <xf numFmtId="184" fontId="2" fillId="0" borderId="34" xfId="17" applyNumberFormat="1" applyFont="1" applyFill="1" applyBorder="1" applyAlignment="1">
      <alignment horizontal="right" vertical="center"/>
    </xf>
    <xf numFmtId="178" fontId="2" fillId="0" borderId="24" xfId="17" applyNumberFormat="1" applyFont="1" applyFill="1" applyBorder="1" applyAlignment="1">
      <alignment horizontal="right" vertical="center"/>
    </xf>
    <xf numFmtId="178" fontId="2" fillId="0" borderId="72" xfId="17" applyNumberFormat="1" applyFont="1" applyFill="1" applyBorder="1" applyAlignment="1">
      <alignment vertical="center"/>
    </xf>
    <xf numFmtId="178" fontId="2" fillId="0" borderId="73" xfId="17" applyNumberFormat="1" applyFont="1" applyFill="1" applyBorder="1" applyAlignment="1">
      <alignment vertical="center"/>
    </xf>
    <xf numFmtId="178" fontId="2" fillId="0" borderId="33" xfId="17" applyNumberFormat="1" applyFont="1" applyFill="1" applyBorder="1" applyAlignment="1">
      <alignment horizontal="right" vertical="center"/>
    </xf>
    <xf numFmtId="178" fontId="2" fillId="0" borderId="34" xfId="17" applyNumberFormat="1" applyFont="1" applyFill="1" applyBorder="1" applyAlignment="1">
      <alignment horizontal="right" vertical="center"/>
    </xf>
    <xf numFmtId="38" fontId="2" fillId="0" borderId="74" xfId="17" applyFont="1" applyFill="1" applyBorder="1" applyAlignment="1">
      <alignment vertical="center"/>
    </xf>
    <xf numFmtId="38" fontId="2" fillId="0" borderId="31" xfId="17" applyFont="1" applyFill="1" applyBorder="1" applyAlignment="1">
      <alignment vertical="center"/>
    </xf>
    <xf numFmtId="38" fontId="2" fillId="0" borderId="75" xfId="17" applyFont="1" applyFill="1" applyBorder="1" applyAlignment="1">
      <alignment vertical="center"/>
    </xf>
    <xf numFmtId="38" fontId="2" fillId="0" borderId="21" xfId="17" applyFont="1" applyFill="1" applyBorder="1" applyAlignment="1">
      <alignment vertical="center"/>
    </xf>
    <xf numFmtId="189" fontId="2" fillId="0" borderId="0" xfId="17" applyNumberFormat="1" applyFont="1" applyFill="1" applyAlignment="1">
      <alignment/>
    </xf>
    <xf numFmtId="189" fontId="2" fillId="0" borderId="0" xfId="17" applyNumberFormat="1" applyFont="1" applyFill="1" applyAlignment="1">
      <alignment horizontal="center"/>
    </xf>
    <xf numFmtId="38" fontId="2" fillId="0" borderId="76" xfId="17" applyFont="1" applyFill="1" applyBorder="1" applyAlignment="1">
      <alignment vertical="center"/>
    </xf>
    <xf numFmtId="38" fontId="2" fillId="0" borderId="77" xfId="17" applyFont="1" applyFill="1" applyBorder="1" applyAlignment="1">
      <alignment vertical="center"/>
    </xf>
    <xf numFmtId="38" fontId="2" fillId="0" borderId="78" xfId="17" applyFont="1" applyFill="1" applyBorder="1" applyAlignment="1">
      <alignment vertical="center"/>
    </xf>
    <xf numFmtId="38" fontId="2" fillId="0" borderId="12" xfId="17" applyFont="1" applyFill="1" applyBorder="1" applyAlignment="1">
      <alignment vertical="center"/>
    </xf>
    <xf numFmtId="38" fontId="2" fillId="0" borderId="26" xfId="17" applyFont="1" applyFill="1" applyBorder="1" applyAlignment="1">
      <alignment vertical="center"/>
    </xf>
    <xf numFmtId="38" fontId="2" fillId="0" borderId="65" xfId="17" applyFont="1" applyFill="1" applyBorder="1" applyAlignment="1">
      <alignment horizontal="distributed" vertical="center"/>
    </xf>
    <xf numFmtId="3" fontId="2" fillId="0" borderId="18" xfId="0" applyNumberFormat="1" applyFont="1" applyFill="1" applyBorder="1" applyAlignment="1">
      <alignment horizontal="right" vertical="center"/>
    </xf>
    <xf numFmtId="3" fontId="2" fillId="0" borderId="19" xfId="0" applyNumberFormat="1" applyFont="1" applyFill="1" applyBorder="1" applyAlignment="1">
      <alignment horizontal="right" vertical="center"/>
    </xf>
    <xf numFmtId="38" fontId="2" fillId="0" borderId="27" xfId="17" applyFont="1" applyFill="1" applyBorder="1" applyAlignment="1" applyProtection="1">
      <alignment horizontal="right" vertical="center"/>
      <protection hidden="1"/>
    </xf>
    <xf numFmtId="3" fontId="2" fillId="0" borderId="17" xfId="0" applyNumberFormat="1" applyFont="1" applyFill="1" applyBorder="1" applyAlignment="1">
      <alignment horizontal="right" vertical="center"/>
    </xf>
    <xf numFmtId="3" fontId="2" fillId="0" borderId="66" xfId="0" applyNumberFormat="1" applyFont="1" applyFill="1" applyBorder="1" applyAlignment="1">
      <alignment horizontal="right" vertical="center"/>
    </xf>
    <xf numFmtId="38" fontId="2" fillId="0" borderId="56" xfId="17" applyFont="1" applyFill="1" applyBorder="1" applyAlignment="1" applyProtection="1">
      <alignment horizontal="right" vertical="center"/>
      <protection hidden="1"/>
    </xf>
    <xf numFmtId="38" fontId="2" fillId="0" borderId="64" xfId="17" applyFont="1" applyFill="1" applyBorder="1" applyAlignment="1">
      <alignment horizontal="right" vertical="center"/>
    </xf>
    <xf numFmtId="38" fontId="2" fillId="0" borderId="19" xfId="17" applyFont="1" applyFill="1" applyBorder="1" applyAlignment="1">
      <alignment horizontal="right" vertical="center"/>
    </xf>
    <xf numFmtId="184" fontId="2" fillId="0" borderId="21" xfId="17" applyNumberFormat="1" applyFont="1" applyFill="1" applyBorder="1" applyAlignment="1">
      <alignment horizontal="right" vertical="center"/>
    </xf>
    <xf numFmtId="3" fontId="2" fillId="0" borderId="24" xfId="0" applyNumberFormat="1" applyFont="1" applyFill="1" applyBorder="1" applyAlignment="1">
      <alignment horizontal="right" vertical="center"/>
    </xf>
    <xf numFmtId="38" fontId="2" fillId="0" borderId="59" xfId="17" applyFont="1" applyFill="1" applyBorder="1" applyAlignment="1">
      <alignment horizontal="right" vertical="center"/>
    </xf>
    <xf numFmtId="184" fontId="2" fillId="0" borderId="27" xfId="17" applyNumberFormat="1" applyFont="1" applyFill="1" applyBorder="1" applyAlignment="1">
      <alignment horizontal="right" vertical="center"/>
    </xf>
    <xf numFmtId="184" fontId="2" fillId="0" borderId="22" xfId="17" applyNumberFormat="1" applyFont="1" applyFill="1" applyBorder="1" applyAlignment="1">
      <alignment horizontal="right" vertical="center"/>
    </xf>
    <xf numFmtId="38" fontId="2" fillId="0" borderId="18" xfId="17" applyFont="1" applyFill="1" applyBorder="1" applyAlignment="1">
      <alignment horizontal="right" vertical="center"/>
    </xf>
    <xf numFmtId="38" fontId="2" fillId="0" borderId="22" xfId="17" applyFont="1" applyFill="1" applyBorder="1" applyAlignment="1">
      <alignment horizontal="right" vertical="center"/>
    </xf>
    <xf numFmtId="38" fontId="2" fillId="0" borderId="79" xfId="17" applyFont="1" applyFill="1" applyBorder="1" applyAlignment="1">
      <alignment horizontal="right" vertical="center"/>
    </xf>
    <xf numFmtId="38" fontId="2" fillId="0" borderId="29" xfId="17" applyFont="1" applyFill="1" applyBorder="1" applyAlignment="1">
      <alignment horizontal="right" vertical="center"/>
    </xf>
    <xf numFmtId="38" fontId="2" fillId="0" borderId="80" xfId="17" applyFont="1" applyFill="1" applyBorder="1" applyAlignment="1">
      <alignment horizontal="right" vertical="center"/>
    </xf>
    <xf numFmtId="38" fontId="2" fillId="0" borderId="81" xfId="17" applyFont="1" applyFill="1" applyBorder="1" applyAlignment="1">
      <alignment horizontal="center" vertical="center"/>
    </xf>
    <xf numFmtId="184" fontId="2" fillId="0" borderId="82" xfId="17" applyNumberFormat="1" applyFont="1" applyFill="1" applyBorder="1" applyAlignment="1">
      <alignment horizontal="right" vertical="center"/>
    </xf>
    <xf numFmtId="184" fontId="2" fillId="0" borderId="66" xfId="17" applyNumberFormat="1" applyFont="1" applyFill="1" applyBorder="1" applyAlignment="1">
      <alignment horizontal="right" vertical="center"/>
    </xf>
    <xf numFmtId="184" fontId="2" fillId="0" borderId="64" xfId="17" applyNumberFormat="1" applyFont="1" applyFill="1" applyBorder="1" applyAlignment="1">
      <alignment horizontal="right" vertical="center"/>
    </xf>
    <xf numFmtId="184" fontId="2" fillId="0" borderId="83" xfId="17" applyNumberFormat="1" applyFont="1" applyFill="1" applyBorder="1" applyAlignment="1">
      <alignment horizontal="right" vertical="center"/>
    </xf>
    <xf numFmtId="184" fontId="2" fillId="0" borderId="34" xfId="0" applyNumberFormat="1" applyFont="1" applyFill="1" applyBorder="1" applyAlignment="1">
      <alignment horizontal="right" vertical="center"/>
    </xf>
    <xf numFmtId="0" fontId="2" fillId="0" borderId="84" xfId="0" applyFont="1" applyFill="1" applyBorder="1" applyAlignment="1">
      <alignment vertical="center"/>
    </xf>
    <xf numFmtId="38" fontId="2" fillId="0" borderId="82" xfId="17" applyFont="1" applyFill="1" applyBorder="1" applyAlignment="1">
      <alignment vertical="center"/>
    </xf>
    <xf numFmtId="38" fontId="2" fillId="0" borderId="85" xfId="17" applyFont="1" applyFill="1" applyBorder="1" applyAlignment="1">
      <alignment vertical="center"/>
    </xf>
    <xf numFmtId="209" fontId="2" fillId="0" borderId="66" xfId="17" applyNumberFormat="1" applyFont="1" applyFill="1" applyBorder="1" applyAlignment="1">
      <alignment vertical="center"/>
    </xf>
    <xf numFmtId="0" fontId="2" fillId="0" borderId="31" xfId="0" applyFont="1" applyFill="1" applyBorder="1" applyAlignment="1">
      <alignment vertical="center"/>
    </xf>
    <xf numFmtId="38" fontId="2" fillId="0" borderId="70" xfId="17" applyFont="1" applyFill="1" applyBorder="1" applyAlignment="1">
      <alignment vertical="center"/>
    </xf>
    <xf numFmtId="38" fontId="2" fillId="0" borderId="86" xfId="17" applyFont="1" applyFill="1" applyBorder="1" applyAlignment="1">
      <alignment vertical="center"/>
    </xf>
    <xf numFmtId="38" fontId="2" fillId="0" borderId="87" xfId="17" applyFont="1" applyFill="1" applyBorder="1" applyAlignment="1">
      <alignment vertical="center"/>
    </xf>
    <xf numFmtId="0" fontId="2" fillId="0" borderId="88" xfId="0" applyFont="1" applyFill="1" applyBorder="1" applyAlignment="1">
      <alignment vertical="center"/>
    </xf>
    <xf numFmtId="38" fontId="2" fillId="0" borderId="5" xfId="17" applyFont="1" applyFill="1" applyBorder="1" applyAlignment="1">
      <alignment horizontal="distributed" vertical="center"/>
    </xf>
    <xf numFmtId="38" fontId="2" fillId="0" borderId="89" xfId="17" applyFont="1" applyFill="1" applyBorder="1" applyAlignment="1">
      <alignment horizontal="center" vertical="center"/>
    </xf>
    <xf numFmtId="38" fontId="2" fillId="0" borderId="6" xfId="17" applyFont="1" applyFill="1" applyBorder="1" applyAlignment="1">
      <alignment vertical="center"/>
    </xf>
    <xf numFmtId="38" fontId="2" fillId="0" borderId="13" xfId="17" applyFont="1" applyFill="1" applyBorder="1" applyAlignment="1">
      <alignment vertical="center"/>
    </xf>
    <xf numFmtId="38" fontId="2" fillId="0" borderId="7" xfId="17" applyFont="1" applyFill="1" applyBorder="1" applyAlignment="1">
      <alignment vertical="center"/>
    </xf>
    <xf numFmtId="38" fontId="2" fillId="0" borderId="8" xfId="17" applyFont="1" applyFill="1" applyBorder="1" applyAlignment="1">
      <alignment vertical="center"/>
    </xf>
    <xf numFmtId="38" fontId="2" fillId="0" borderId="84" xfId="17" applyFont="1" applyFill="1" applyBorder="1" applyAlignment="1">
      <alignment horizontal="center" vertical="center"/>
    </xf>
    <xf numFmtId="49" fontId="2" fillId="0" borderId="14" xfId="17" applyNumberFormat="1" applyFont="1" applyFill="1" applyBorder="1" applyAlignment="1">
      <alignment horizontal="left" vertical="center"/>
    </xf>
    <xf numFmtId="176" fontId="2" fillId="0" borderId="0" xfId="17" applyNumberFormat="1" applyFont="1" applyFill="1" applyBorder="1" applyAlignment="1">
      <alignment horizontal="left" vertical="center"/>
    </xf>
    <xf numFmtId="38" fontId="0" fillId="0" borderId="0" xfId="17" applyFont="1" applyFill="1" applyAlignment="1">
      <alignment horizontal="left"/>
    </xf>
    <xf numFmtId="49" fontId="2" fillId="0" borderId="0" xfId="17" applyNumberFormat="1" applyFont="1" applyFill="1" applyAlignment="1">
      <alignment/>
    </xf>
    <xf numFmtId="178" fontId="15" fillId="0" borderId="0" xfId="17" applyNumberFormat="1" applyFont="1" applyFill="1" applyAlignment="1">
      <alignment horizontal="center"/>
    </xf>
    <xf numFmtId="49" fontId="15" fillId="0" borderId="0" xfId="17" applyNumberFormat="1" applyFont="1" applyFill="1" applyAlignment="1">
      <alignment horizontal="right" indent="1"/>
    </xf>
    <xf numFmtId="181" fontId="15" fillId="0" borderId="0" xfId="17" applyNumberFormat="1" applyFont="1" applyFill="1" applyAlignment="1">
      <alignment horizontal="left"/>
    </xf>
    <xf numFmtId="178" fontId="15" fillId="0" borderId="0" xfId="17" applyNumberFormat="1" applyFont="1" applyFill="1" applyAlignment="1">
      <alignment horizontal="left"/>
    </xf>
    <xf numFmtId="49" fontId="15" fillId="0" borderId="0" xfId="17" applyNumberFormat="1" applyFont="1" applyFill="1" applyAlignment="1">
      <alignment/>
    </xf>
    <xf numFmtId="49" fontId="23" fillId="0" borderId="0" xfId="17" applyNumberFormat="1" applyFont="1" applyFill="1" applyAlignment="1">
      <alignment horizontal="right"/>
    </xf>
    <xf numFmtId="38" fontId="2" fillId="0" borderId="36" xfId="17" applyFont="1" applyFill="1" applyBorder="1" applyAlignment="1">
      <alignment horizontal="right" vertical="center"/>
    </xf>
    <xf numFmtId="38" fontId="2" fillId="0" borderId="90" xfId="17" applyFont="1" applyFill="1" applyBorder="1" applyAlignment="1">
      <alignment horizontal="right" vertical="center"/>
    </xf>
    <xf numFmtId="38" fontId="2" fillId="0" borderId="87" xfId="17" applyFont="1" applyFill="1" applyBorder="1" applyAlignment="1">
      <alignment horizontal="right" vertical="center"/>
    </xf>
    <xf numFmtId="38" fontId="2" fillId="0" borderId="90" xfId="17" applyFont="1" applyFill="1" applyBorder="1" applyAlignment="1">
      <alignment vertical="center"/>
    </xf>
    <xf numFmtId="38" fontId="2" fillId="0" borderId="91" xfId="17" applyFont="1" applyFill="1" applyBorder="1" applyAlignment="1">
      <alignment vertical="center"/>
    </xf>
    <xf numFmtId="38" fontId="2" fillId="0" borderId="91" xfId="17" applyFont="1" applyFill="1" applyBorder="1" applyAlignment="1">
      <alignment horizontal="center" vertical="center"/>
    </xf>
    <xf numFmtId="38" fontId="2" fillId="0" borderId="17" xfId="17" applyFont="1" applyFill="1" applyBorder="1" applyAlignment="1">
      <alignment horizontal="right" vertical="center"/>
    </xf>
    <xf numFmtId="38" fontId="2" fillId="0" borderId="44" xfId="17" applyFont="1" applyFill="1" applyBorder="1" applyAlignment="1">
      <alignment horizontal="right" vertical="center"/>
    </xf>
    <xf numFmtId="38" fontId="16" fillId="0" borderId="25" xfId="17" applyFont="1" applyFill="1" applyBorder="1" applyAlignment="1">
      <alignment horizontal="distributed" vertical="center"/>
    </xf>
    <xf numFmtId="38" fontId="2" fillId="0" borderId="70" xfId="17" applyFont="1" applyFill="1" applyBorder="1" applyAlignment="1">
      <alignment horizontal="right" vertical="center"/>
    </xf>
    <xf numFmtId="38" fontId="2" fillId="0" borderId="91" xfId="17" applyFont="1" applyFill="1" applyBorder="1" applyAlignment="1">
      <alignment horizontal="right" vertical="center"/>
    </xf>
    <xf numFmtId="38" fontId="2" fillId="0" borderId="33" xfId="17" applyFont="1" applyFill="1" applyBorder="1" applyAlignment="1">
      <alignment horizontal="center" vertical="center"/>
    </xf>
    <xf numFmtId="38" fontId="2" fillId="0" borderId="92" xfId="17" applyFont="1" applyFill="1" applyBorder="1" applyAlignment="1">
      <alignment horizontal="right" vertical="center"/>
    </xf>
    <xf numFmtId="38" fontId="2" fillId="0" borderId="93" xfId="17" applyFont="1" applyFill="1" applyBorder="1" applyAlignment="1">
      <alignment horizontal="right" vertical="center"/>
    </xf>
    <xf numFmtId="38" fontId="2" fillId="0" borderId="89" xfId="17" applyFont="1" applyFill="1" applyBorder="1" applyAlignment="1">
      <alignment vertical="center"/>
    </xf>
    <xf numFmtId="38" fontId="2" fillId="0" borderId="30" xfId="17" applyFont="1" applyFill="1" applyBorder="1" applyAlignment="1">
      <alignment horizontal="right" vertical="center"/>
    </xf>
    <xf numFmtId="38" fontId="2" fillId="0" borderId="33" xfId="17" applyFont="1" applyFill="1" applyBorder="1" applyAlignment="1">
      <alignment horizontal="right" vertical="center"/>
    </xf>
    <xf numFmtId="38" fontId="2" fillId="0" borderId="50" xfId="17" applyFont="1" applyFill="1" applyBorder="1" applyAlignment="1">
      <alignment horizontal="right" vertical="center"/>
    </xf>
    <xf numFmtId="38" fontId="2" fillId="0" borderId="49" xfId="17" applyFont="1" applyFill="1" applyBorder="1" applyAlignment="1">
      <alignment horizontal="right" vertical="center"/>
    </xf>
    <xf numFmtId="38" fontId="2" fillId="0" borderId="40" xfId="17" applyFont="1" applyFill="1" applyBorder="1" applyAlignment="1">
      <alignment horizontal="right" vertical="center"/>
    </xf>
    <xf numFmtId="38" fontId="2" fillId="0" borderId="49" xfId="17" applyFont="1" applyFill="1" applyBorder="1" applyAlignment="1">
      <alignment horizontal="center" vertical="center"/>
    </xf>
    <xf numFmtId="38" fontId="2" fillId="0" borderId="34" xfId="17" applyFont="1" applyFill="1" applyBorder="1" applyAlignment="1">
      <alignment horizontal="center" vertical="center"/>
    </xf>
    <xf numFmtId="38" fontId="2" fillId="0" borderId="23" xfId="17" applyFont="1" applyFill="1" applyBorder="1" applyAlignment="1">
      <alignment horizontal="right" vertical="center"/>
    </xf>
    <xf numFmtId="38" fontId="2" fillId="0" borderId="38" xfId="17" applyFont="1" applyFill="1" applyBorder="1" applyAlignment="1">
      <alignment horizontal="right" vertical="center"/>
    </xf>
    <xf numFmtId="216" fontId="2" fillId="0" borderId="0" xfId="0" applyNumberFormat="1" applyFont="1" applyFill="1" applyAlignment="1">
      <alignment/>
    </xf>
    <xf numFmtId="178" fontId="2" fillId="0" borderId="0" xfId="0" applyNumberFormat="1" applyFont="1" applyFill="1" applyAlignment="1">
      <alignment/>
    </xf>
    <xf numFmtId="190" fontId="2" fillId="0" borderId="0" xfId="0" applyNumberFormat="1" applyFont="1" applyFill="1" applyAlignment="1">
      <alignment/>
    </xf>
    <xf numFmtId="191" fontId="2" fillId="0" borderId="0" xfId="17" applyNumberFormat="1" applyFont="1" applyFill="1" applyAlignment="1">
      <alignment/>
    </xf>
    <xf numFmtId="191" fontId="2" fillId="0" borderId="0" xfId="0" applyNumberFormat="1" applyFont="1" applyFill="1" applyAlignment="1">
      <alignment/>
    </xf>
    <xf numFmtId="0" fontId="2" fillId="0" borderId="0" xfId="0" applyFont="1" applyFill="1" applyAlignment="1">
      <alignment vertical="top"/>
    </xf>
    <xf numFmtId="38" fontId="2" fillId="0" borderId="0" xfId="17" applyFont="1" applyFill="1" applyAlignment="1">
      <alignment vertical="top"/>
    </xf>
    <xf numFmtId="207" fontId="2" fillId="0" borderId="0" xfId="17" applyNumberFormat="1" applyFont="1" applyFill="1" applyAlignment="1">
      <alignment/>
    </xf>
    <xf numFmtId="192" fontId="2" fillId="0" borderId="0" xfId="17" applyNumberFormat="1" applyFont="1" applyFill="1" applyAlignment="1">
      <alignment/>
    </xf>
    <xf numFmtId="193" fontId="2" fillId="0" borderId="0" xfId="17" applyNumberFormat="1" applyFont="1" applyFill="1" applyAlignment="1">
      <alignment/>
    </xf>
    <xf numFmtId="193" fontId="2" fillId="0" borderId="0" xfId="17" applyNumberFormat="1" applyFont="1" applyFill="1" applyAlignment="1">
      <alignment horizontal="right"/>
    </xf>
    <xf numFmtId="194" fontId="2" fillId="0" borderId="0" xfId="17" applyNumberFormat="1" applyFont="1" applyFill="1" applyAlignment="1">
      <alignment/>
    </xf>
    <xf numFmtId="192" fontId="2" fillId="0" borderId="0" xfId="17" applyNumberFormat="1" applyFont="1" applyFill="1" applyAlignment="1">
      <alignment horizontal="right"/>
    </xf>
    <xf numFmtId="190" fontId="2" fillId="0" borderId="0" xfId="17" applyNumberFormat="1" applyFont="1" applyFill="1" applyAlignment="1">
      <alignment/>
    </xf>
    <xf numFmtId="195" fontId="2" fillId="0" borderId="0" xfId="17" applyNumberFormat="1" applyFont="1" applyFill="1" applyAlignment="1">
      <alignment/>
    </xf>
    <xf numFmtId="38" fontId="2" fillId="0" borderId="94" xfId="17" applyFont="1" applyFill="1" applyBorder="1" applyAlignment="1">
      <alignment horizontal="center" vertical="center" wrapText="1"/>
    </xf>
    <xf numFmtId="38" fontId="23" fillId="0" borderId="11" xfId="17" applyFont="1" applyFill="1" applyBorder="1" applyAlignment="1">
      <alignment horizontal="center" vertical="center" wrapText="1"/>
    </xf>
    <xf numFmtId="38" fontId="2" fillId="0" borderId="33" xfId="17" applyFont="1" applyFill="1" applyBorder="1" applyAlignment="1">
      <alignment horizontal="center" vertical="center" wrapText="1"/>
    </xf>
    <xf numFmtId="38" fontId="2" fillId="0" borderId="95" xfId="17" applyFont="1" applyFill="1" applyBorder="1" applyAlignment="1">
      <alignment horizontal="center" vertical="center" wrapText="1"/>
    </xf>
    <xf numFmtId="38" fontId="23" fillId="0" borderId="28" xfId="17" applyFont="1" applyFill="1" applyBorder="1" applyAlignment="1">
      <alignment horizontal="center" vertical="center" wrapText="1"/>
    </xf>
    <xf numFmtId="38" fontId="2" fillId="0" borderId="25" xfId="17" applyFont="1" applyFill="1" applyBorder="1" applyAlignment="1">
      <alignment horizontal="center" vertical="center" wrapText="1"/>
    </xf>
    <xf numFmtId="38" fontId="2" fillId="0" borderId="96" xfId="17" applyFont="1" applyFill="1" applyBorder="1" applyAlignment="1">
      <alignment horizontal="right" vertical="center"/>
    </xf>
    <xf numFmtId="38" fontId="2" fillId="0" borderId="34" xfId="17" applyFont="1" applyFill="1" applyBorder="1" applyAlignment="1">
      <alignment horizontal="right" vertical="center"/>
    </xf>
    <xf numFmtId="38" fontId="2" fillId="0" borderId="97" xfId="17" applyFont="1" applyFill="1" applyBorder="1" applyAlignment="1">
      <alignment horizontal="right" vertical="center"/>
    </xf>
    <xf numFmtId="38" fontId="2" fillId="0" borderId="98" xfId="17" applyFont="1" applyFill="1" applyBorder="1" applyAlignment="1">
      <alignment horizontal="right" vertical="center"/>
    </xf>
    <xf numFmtId="38" fontId="2" fillId="0" borderId="99" xfId="17" applyFont="1" applyFill="1" applyBorder="1" applyAlignment="1">
      <alignment horizontal="right" vertical="center"/>
    </xf>
    <xf numFmtId="188" fontId="2" fillId="0" borderId="46" xfId="17" applyNumberFormat="1" applyFont="1" applyFill="1" applyBorder="1" applyAlignment="1">
      <alignment vertical="center"/>
    </xf>
    <xf numFmtId="38" fontId="2" fillId="0" borderId="100" xfId="17" applyFont="1" applyFill="1" applyBorder="1" applyAlignment="1">
      <alignment horizontal="right" vertical="center"/>
    </xf>
    <xf numFmtId="38" fontId="2" fillId="0" borderId="101" xfId="17" applyFont="1" applyFill="1" applyBorder="1" applyAlignment="1">
      <alignment horizontal="center" vertical="center"/>
    </xf>
    <xf numFmtId="38" fontId="2" fillId="0" borderId="102" xfId="17" applyFont="1" applyFill="1" applyBorder="1" applyAlignment="1">
      <alignment horizontal="center" vertical="center"/>
    </xf>
    <xf numFmtId="38" fontId="2" fillId="0" borderId="87" xfId="17" applyFont="1" applyFill="1" applyBorder="1" applyAlignment="1">
      <alignment horizontal="center" vertical="center"/>
    </xf>
    <xf numFmtId="188" fontId="2" fillId="0" borderId="63" xfId="17" applyNumberFormat="1" applyFont="1" applyFill="1" applyBorder="1" applyAlignment="1">
      <alignment vertical="center"/>
    </xf>
    <xf numFmtId="180" fontId="2" fillId="0" borderId="96" xfId="17" applyNumberFormat="1" applyFont="1" applyFill="1" applyBorder="1" applyAlignment="1">
      <alignment vertical="center"/>
    </xf>
    <xf numFmtId="180" fontId="2" fillId="0" borderId="34" xfId="17" applyNumberFormat="1" applyFont="1" applyFill="1" applyBorder="1" applyAlignment="1">
      <alignment vertical="center"/>
    </xf>
    <xf numFmtId="38" fontId="2" fillId="0" borderId="97" xfId="17" applyFont="1" applyFill="1" applyBorder="1" applyAlignment="1">
      <alignment vertical="center"/>
    </xf>
    <xf numFmtId="38" fontId="2" fillId="0" borderId="36" xfId="17" applyFont="1" applyFill="1" applyBorder="1" applyAlignment="1">
      <alignment/>
    </xf>
    <xf numFmtId="38" fontId="2" fillId="0" borderId="0" xfId="17" applyFont="1" applyFill="1" applyBorder="1" applyAlignment="1">
      <alignment vertical="center" wrapText="1"/>
    </xf>
    <xf numFmtId="38" fontId="2" fillId="0" borderId="6" xfId="17" applyFont="1" applyFill="1" applyBorder="1" applyAlignment="1">
      <alignment horizontal="center" vertical="center" wrapText="1"/>
    </xf>
    <xf numFmtId="38" fontId="2" fillId="0" borderId="7" xfId="17" applyFont="1" applyFill="1" applyBorder="1" applyAlignment="1">
      <alignment horizontal="center" vertical="center" wrapText="1"/>
    </xf>
    <xf numFmtId="0" fontId="2" fillId="0" borderId="8" xfId="0" applyFont="1" applyFill="1" applyBorder="1" applyAlignment="1">
      <alignment horizontal="center" vertical="center" wrapText="1"/>
    </xf>
    <xf numFmtId="184" fontId="2" fillId="0" borderId="20" xfId="17" applyNumberFormat="1" applyFont="1" applyFill="1" applyBorder="1" applyAlignment="1" applyProtection="1">
      <alignment horizontal="right" vertical="center"/>
      <protection locked="0"/>
    </xf>
    <xf numFmtId="184" fontId="2" fillId="0" borderId="34" xfId="17" applyNumberFormat="1" applyFont="1" applyFill="1" applyBorder="1" applyAlignment="1" applyProtection="1">
      <alignment horizontal="right" vertical="center"/>
      <protection locked="0"/>
    </xf>
    <xf numFmtId="184" fontId="2" fillId="0" borderId="65" xfId="17" applyNumberFormat="1" applyFont="1" applyFill="1" applyBorder="1" applyAlignment="1" applyProtection="1">
      <alignment vertical="center"/>
      <protection locked="0"/>
    </xf>
    <xf numFmtId="184" fontId="2" fillId="0" borderId="24" xfId="17" applyNumberFormat="1" applyFont="1" applyFill="1" applyBorder="1" applyAlignment="1" applyProtection="1">
      <alignment horizontal="right" vertical="center"/>
      <protection locked="0"/>
    </xf>
    <xf numFmtId="184" fontId="2" fillId="0" borderId="99" xfId="21" applyNumberFormat="1" applyFont="1" applyFill="1" applyBorder="1" applyAlignment="1">
      <alignment horizontal="right" vertical="center"/>
      <protection/>
    </xf>
    <xf numFmtId="184" fontId="2" fillId="0" borderId="20" xfId="17" applyNumberFormat="1" applyFont="1" applyFill="1" applyBorder="1" applyAlignment="1" applyProtection="1">
      <alignment horizontal="center" vertical="center"/>
      <protection locked="0"/>
    </xf>
    <xf numFmtId="184" fontId="2" fillId="0" borderId="24" xfId="17" applyNumberFormat="1" applyFont="1" applyFill="1" applyBorder="1" applyAlignment="1" applyProtection="1">
      <alignment horizontal="center" vertical="center"/>
      <protection locked="0"/>
    </xf>
    <xf numFmtId="184" fontId="2" fillId="0" borderId="6" xfId="17" applyNumberFormat="1" applyFont="1" applyFill="1" applyBorder="1" applyAlignment="1" applyProtection="1">
      <alignment vertical="center"/>
      <protection locked="0"/>
    </xf>
    <xf numFmtId="184" fontId="2" fillId="0" borderId="7" xfId="17" applyNumberFormat="1" applyFont="1" applyFill="1" applyBorder="1" applyAlignment="1" applyProtection="1">
      <alignment horizontal="center" vertical="center"/>
      <protection locked="0"/>
    </xf>
    <xf numFmtId="184" fontId="2" fillId="0" borderId="11" xfId="17" applyNumberFormat="1" applyFont="1" applyFill="1" applyBorder="1" applyAlignment="1" applyProtection="1">
      <alignment horizontal="center" vertical="center"/>
      <protection locked="0"/>
    </xf>
    <xf numFmtId="184" fontId="2" fillId="0" borderId="1" xfId="17" applyNumberFormat="1" applyFont="1" applyFill="1" applyBorder="1" applyAlignment="1" applyProtection="1">
      <alignment vertical="center"/>
      <protection locked="0"/>
    </xf>
    <xf numFmtId="184" fontId="2" fillId="0" borderId="51" xfId="17" applyNumberFormat="1" applyFont="1" applyFill="1" applyBorder="1" applyAlignment="1" applyProtection="1">
      <alignment vertical="center"/>
      <protection hidden="1"/>
    </xf>
    <xf numFmtId="184" fontId="2" fillId="0" borderId="32" xfId="17" applyNumberFormat="1" applyFont="1" applyFill="1" applyBorder="1" applyAlignment="1" applyProtection="1">
      <alignment vertical="center"/>
      <protection hidden="1"/>
    </xf>
    <xf numFmtId="184" fontId="2" fillId="0" borderId="35" xfId="17" applyNumberFormat="1" applyFont="1" applyFill="1" applyBorder="1" applyAlignment="1" applyProtection="1">
      <alignment vertical="center"/>
      <protection hidden="1"/>
    </xf>
    <xf numFmtId="38" fontId="2" fillId="0" borderId="0" xfId="17" applyFont="1" applyFill="1" applyBorder="1" applyAlignment="1">
      <alignment horizontal="left" vertical="center" wrapText="1"/>
    </xf>
    <xf numFmtId="0" fontId="2" fillId="0" borderId="0" xfId="0" applyFont="1" applyFill="1" applyBorder="1" applyAlignment="1">
      <alignment/>
    </xf>
    <xf numFmtId="0" fontId="21" fillId="0" borderId="19" xfId="0" applyFont="1" applyFill="1" applyBorder="1" applyAlignment="1">
      <alignment horizontal="left"/>
    </xf>
    <xf numFmtId="0" fontId="13" fillId="0" borderId="0" xfId="0" applyFont="1" applyFill="1" applyAlignment="1">
      <alignment horizontal="left"/>
    </xf>
    <xf numFmtId="176" fontId="2" fillId="0" borderId="0" xfId="17" applyNumberFormat="1" applyFont="1" applyFill="1" applyAlignment="1">
      <alignment horizontal="right"/>
    </xf>
    <xf numFmtId="184" fontId="2" fillId="0" borderId="103" xfId="21" applyNumberFormat="1" applyFont="1" applyFill="1" applyBorder="1" applyAlignment="1">
      <alignment horizontal="right" vertical="center"/>
      <protection/>
    </xf>
    <xf numFmtId="184" fontId="2" fillId="0" borderId="70" xfId="21" applyNumberFormat="1" applyFont="1" applyFill="1" applyBorder="1" applyAlignment="1">
      <alignment horizontal="right" vertical="center"/>
      <protection/>
    </xf>
    <xf numFmtId="184" fontId="2" fillId="0" borderId="70" xfId="21" applyNumberFormat="1" applyFont="1" applyFill="1" applyBorder="1" applyAlignment="1">
      <alignment vertical="center"/>
      <protection/>
    </xf>
    <xf numFmtId="184" fontId="2" fillId="0" borderId="82" xfId="17" applyNumberFormat="1" applyFont="1" applyFill="1" applyBorder="1" applyAlignment="1" applyProtection="1">
      <alignment vertical="center"/>
      <protection hidden="1"/>
    </xf>
    <xf numFmtId="184" fontId="2" fillId="0" borderId="104" xfId="21" applyNumberFormat="1" applyFont="1" applyFill="1" applyBorder="1" applyAlignment="1">
      <alignment horizontal="right" vertical="center"/>
      <protection/>
    </xf>
    <xf numFmtId="184" fontId="2" fillId="0" borderId="20" xfId="21" applyNumberFormat="1" applyFont="1" applyFill="1" applyBorder="1" applyAlignment="1">
      <alignment horizontal="right" vertical="center"/>
      <protection/>
    </xf>
    <xf numFmtId="38" fontId="2" fillId="0" borderId="18" xfId="17" applyFont="1" applyFill="1" applyBorder="1" applyAlignment="1">
      <alignment horizontal="center" vertical="center"/>
    </xf>
    <xf numFmtId="184" fontId="2" fillId="0" borderId="20" xfId="21" applyNumberFormat="1" applyFont="1" applyFill="1" applyBorder="1" applyAlignment="1">
      <alignment horizontal="center" vertical="center"/>
      <protection/>
    </xf>
    <xf numFmtId="38" fontId="2" fillId="0" borderId="31" xfId="17" applyFont="1" applyFill="1" applyBorder="1" applyAlignment="1">
      <alignment horizontal="center" vertical="center"/>
    </xf>
    <xf numFmtId="38" fontId="2" fillId="0" borderId="88" xfId="17" applyFont="1" applyFill="1" applyBorder="1" applyAlignment="1">
      <alignment horizontal="center" vertical="center"/>
    </xf>
    <xf numFmtId="38" fontId="2" fillId="0" borderId="24" xfId="17" applyFont="1" applyFill="1" applyBorder="1" applyAlignment="1">
      <alignment horizontal="center" vertical="center"/>
    </xf>
    <xf numFmtId="38" fontId="2" fillId="0" borderId="1" xfId="17" applyFont="1" applyFill="1" applyBorder="1" applyAlignment="1">
      <alignment horizontal="center" vertical="center"/>
    </xf>
    <xf numFmtId="38" fontId="2" fillId="0" borderId="17" xfId="17" applyFont="1" applyFill="1" applyBorder="1" applyAlignment="1">
      <alignment horizontal="center" vertical="center"/>
    </xf>
    <xf numFmtId="38" fontId="2" fillId="0" borderId="70" xfId="17" applyFont="1" applyFill="1" applyBorder="1" applyAlignment="1">
      <alignment horizontal="center" vertical="center"/>
    </xf>
    <xf numFmtId="38" fontId="2" fillId="0" borderId="105" xfId="17" applyFont="1" applyFill="1" applyBorder="1" applyAlignment="1">
      <alignment horizontal="left" vertical="center" wrapText="1"/>
    </xf>
    <xf numFmtId="38" fontId="2" fillId="0" borderId="106" xfId="17" applyFont="1" applyFill="1" applyBorder="1" applyAlignment="1">
      <alignment horizontal="left" vertical="center" wrapText="1"/>
    </xf>
    <xf numFmtId="38" fontId="2" fillId="0" borderId="1" xfId="17" applyFont="1" applyFill="1" applyBorder="1" applyAlignment="1">
      <alignment horizontal="center"/>
    </xf>
    <xf numFmtId="38" fontId="2" fillId="0" borderId="17" xfId="17" applyFont="1" applyFill="1" applyBorder="1" applyAlignment="1">
      <alignment horizontal="center"/>
    </xf>
    <xf numFmtId="38" fontId="2" fillId="0" borderId="46" xfId="17" applyFont="1" applyFill="1" applyBorder="1" applyAlignment="1">
      <alignment vertical="center" wrapText="1"/>
    </xf>
    <xf numFmtId="38" fontId="2" fillId="0" borderId="105" xfId="17" applyFont="1" applyFill="1" applyBorder="1" applyAlignment="1">
      <alignment vertical="center" wrapText="1"/>
    </xf>
    <xf numFmtId="38" fontId="2" fillId="0" borderId="106" xfId="17" applyFont="1" applyFill="1" applyBorder="1" applyAlignment="1">
      <alignment vertical="center" wrapText="1"/>
    </xf>
    <xf numFmtId="49" fontId="15" fillId="0" borderId="0" xfId="17" applyNumberFormat="1" applyFont="1" applyFill="1" applyAlignment="1">
      <alignment horizontal="left"/>
    </xf>
    <xf numFmtId="38" fontId="2" fillId="0" borderId="0" xfId="17" applyFont="1" applyFill="1" applyAlignment="1">
      <alignment horizontal="left" wrapText="1"/>
    </xf>
    <xf numFmtId="38" fontId="2" fillId="0" borderId="62" xfId="17" applyFont="1" applyFill="1" applyBorder="1" applyAlignment="1">
      <alignment horizontal="center"/>
    </xf>
    <xf numFmtId="38" fontId="2" fillId="0" borderId="107" xfId="17" applyFont="1" applyFill="1" applyBorder="1" applyAlignment="1">
      <alignment horizontal="center"/>
    </xf>
    <xf numFmtId="38" fontId="2" fillId="0" borderId="52" xfId="17" applyFont="1" applyFill="1" applyBorder="1" applyAlignment="1">
      <alignment horizontal="center"/>
    </xf>
    <xf numFmtId="38" fontId="2" fillId="0" borderId="29" xfId="17" applyFont="1" applyFill="1" applyBorder="1" applyAlignment="1">
      <alignment horizontal="center"/>
    </xf>
    <xf numFmtId="38" fontId="2" fillId="0" borderId="46" xfId="17" applyFont="1" applyFill="1" applyBorder="1" applyAlignment="1">
      <alignment horizontal="left" vertical="center" wrapText="1"/>
    </xf>
    <xf numFmtId="38" fontId="2" fillId="0" borderId="12" xfId="17" applyFont="1" applyFill="1" applyBorder="1" applyAlignment="1">
      <alignment horizontal="center" vertical="center" wrapText="1"/>
    </xf>
    <xf numFmtId="38" fontId="2" fillId="0" borderId="25" xfId="17" applyFont="1" applyFill="1" applyBorder="1" applyAlignment="1">
      <alignment horizontal="center"/>
    </xf>
    <xf numFmtId="38" fontId="2" fillId="0" borderId="108" xfId="17" applyFont="1" applyFill="1" applyBorder="1" applyAlignment="1">
      <alignment horizontal="left" vertical="center" wrapText="1"/>
    </xf>
    <xf numFmtId="38" fontId="2" fillId="0" borderId="24" xfId="17" applyFont="1" applyFill="1" applyBorder="1" applyAlignment="1">
      <alignment horizontal="left" vertical="center" wrapText="1"/>
    </xf>
    <xf numFmtId="38" fontId="2" fillId="0" borderId="11" xfId="17" applyFont="1" applyFill="1" applyBorder="1" applyAlignment="1">
      <alignment horizontal="left" vertical="center" wrapText="1"/>
    </xf>
    <xf numFmtId="38" fontId="2" fillId="0" borderId="5" xfId="17" applyFont="1" applyFill="1" applyBorder="1" applyAlignment="1">
      <alignment horizontal="center" vertical="center" wrapText="1"/>
    </xf>
    <xf numFmtId="38" fontId="2" fillId="0" borderId="44" xfId="17" applyFont="1" applyFill="1" applyBorder="1" applyAlignment="1">
      <alignment horizontal="center" vertical="center" wrapText="1"/>
    </xf>
    <xf numFmtId="0" fontId="23" fillId="0" borderId="1" xfId="0" applyFont="1" applyFill="1" applyBorder="1" applyAlignment="1">
      <alignment horizontal="center"/>
    </xf>
    <xf numFmtId="0" fontId="23" fillId="0" borderId="1" xfId="0" applyFont="1" applyFill="1" applyBorder="1" applyAlignment="1">
      <alignment vertical="center" wrapText="1"/>
    </xf>
    <xf numFmtId="38" fontId="2" fillId="0" borderId="78" xfId="17" applyFont="1" applyFill="1" applyBorder="1" applyAlignment="1">
      <alignment horizontal="center" vertical="center"/>
    </xf>
    <xf numFmtId="38" fontId="2" fillId="0" borderId="109" xfId="17" applyFont="1" applyFill="1" applyBorder="1" applyAlignment="1">
      <alignment horizontal="center" vertical="center"/>
    </xf>
    <xf numFmtId="38" fontId="2" fillId="0" borderId="91" xfId="17" applyFont="1" applyFill="1" applyBorder="1" applyAlignment="1">
      <alignment horizontal="left" vertical="center" wrapText="1"/>
    </xf>
    <xf numFmtId="0" fontId="17" fillId="0" borderId="1" xfId="0" applyFont="1" applyFill="1" applyBorder="1" applyAlignment="1">
      <alignment vertical="center" wrapText="1"/>
    </xf>
    <xf numFmtId="0" fontId="23" fillId="0" borderId="1" xfId="0" applyFont="1" applyFill="1" applyBorder="1" applyAlignment="1">
      <alignment vertical="center"/>
    </xf>
    <xf numFmtId="0" fontId="24" fillId="0" borderId="1" xfId="0" applyFont="1" applyFill="1" applyBorder="1" applyAlignment="1">
      <alignment vertical="center" wrapText="1"/>
    </xf>
    <xf numFmtId="0" fontId="0" fillId="0" borderId="0" xfId="0" applyAlignment="1">
      <alignment horizontal="left" vertical="top"/>
    </xf>
    <xf numFmtId="0" fontId="11" fillId="0" borderId="0" xfId="0" applyFont="1" applyAlignment="1">
      <alignment horizontal="distributed"/>
    </xf>
    <xf numFmtId="0" fontId="11" fillId="0" borderId="0" xfId="0" applyFont="1" applyFill="1" applyAlignment="1">
      <alignment horizontal="distributed"/>
    </xf>
    <xf numFmtId="0" fontId="0" fillId="0" borderId="0" xfId="0" applyAlignment="1">
      <alignment horizontal="left"/>
    </xf>
    <xf numFmtId="58" fontId="0" fillId="0" borderId="0" xfId="0" applyNumberFormat="1" applyFill="1" applyAlignment="1">
      <alignment horizontal="right"/>
    </xf>
    <xf numFmtId="0" fontId="0" fillId="0" borderId="0" xfId="0" applyFill="1" applyAlignment="1">
      <alignment horizontal="right"/>
    </xf>
    <xf numFmtId="0" fontId="7" fillId="0" borderId="0" xfId="0" applyFont="1" applyAlignment="1">
      <alignment horizontal="center"/>
    </xf>
    <xf numFmtId="0" fontId="5" fillId="0" borderId="0" xfId="0" applyFont="1" applyAlignment="1">
      <alignment horizontal="center"/>
    </xf>
    <xf numFmtId="0" fontId="10" fillId="0" borderId="0" xfId="0" applyFont="1" applyAlignment="1">
      <alignment horizontal="center"/>
    </xf>
    <xf numFmtId="0" fontId="18" fillId="0" borderId="0" xfId="0" applyFont="1" applyFill="1" applyAlignment="1">
      <alignment/>
    </xf>
    <xf numFmtId="0" fontId="13" fillId="0" borderId="0" xfId="0" applyFont="1" applyFill="1" applyAlignment="1">
      <alignment horizontal="left" indent="1"/>
    </xf>
    <xf numFmtId="0" fontId="13" fillId="0" borderId="0" xfId="0" applyFont="1" applyFill="1" applyAlignment="1">
      <alignment horizontal="left" wrapText="1"/>
    </xf>
    <xf numFmtId="0" fontId="2" fillId="0" borderId="0" xfId="0" applyFont="1" applyFill="1" applyAlignment="1">
      <alignment horizontal="left"/>
    </xf>
    <xf numFmtId="0" fontId="13" fillId="0" borderId="0" xfId="0" applyFont="1" applyFill="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left" wrapText="1"/>
    </xf>
    <xf numFmtId="0" fontId="14" fillId="0" borderId="0" xfId="0" applyFont="1" applyFill="1" applyAlignment="1">
      <alignment horizontal="center"/>
    </xf>
    <xf numFmtId="49" fontId="13" fillId="0" borderId="0" xfId="17" applyNumberFormat="1" applyFont="1" applyFill="1" applyAlignment="1">
      <alignment horizontal="left" vertical="center" wrapText="1"/>
    </xf>
    <xf numFmtId="38" fontId="2" fillId="0" borderId="17" xfId="17" applyFont="1" applyFill="1" applyBorder="1" applyAlignment="1">
      <alignment horizontal="center" vertical="center" wrapText="1"/>
    </xf>
    <xf numFmtId="38" fontId="2" fillId="0" borderId="18" xfId="17" applyFont="1" applyFill="1" applyBorder="1" applyAlignment="1">
      <alignment horizontal="center" vertical="center" wrapText="1"/>
    </xf>
    <xf numFmtId="38" fontId="2" fillId="0" borderId="30" xfId="17" applyFont="1" applyFill="1" applyBorder="1" applyAlignment="1">
      <alignment horizontal="center" vertical="center"/>
    </xf>
    <xf numFmtId="38" fontId="2" fillId="0" borderId="110" xfId="17" applyFont="1" applyFill="1" applyBorder="1" applyAlignment="1">
      <alignment horizontal="center" vertical="center"/>
    </xf>
    <xf numFmtId="38" fontId="2" fillId="0" borderId="0" xfId="17" applyFont="1" applyFill="1" applyAlignment="1">
      <alignment horizontal="left"/>
    </xf>
    <xf numFmtId="38" fontId="2" fillId="0" borderId="36" xfId="17" applyFont="1" applyFill="1" applyBorder="1" applyAlignment="1">
      <alignment horizontal="left"/>
    </xf>
    <xf numFmtId="184" fontId="2" fillId="0" borderId="46" xfId="0" applyNumberFormat="1" applyFont="1" applyFill="1" applyBorder="1" applyAlignment="1">
      <alignment horizontal="center" vertical="center" wrapText="1"/>
    </xf>
    <xf numFmtId="0" fontId="2" fillId="0" borderId="106" xfId="0" applyFont="1" applyFill="1" applyBorder="1" applyAlignment="1">
      <alignment horizontal="center" vertical="center"/>
    </xf>
    <xf numFmtId="184" fontId="2" fillId="0" borderId="17" xfId="17" applyNumberFormat="1" applyFont="1" applyFill="1" applyBorder="1" applyAlignment="1">
      <alignment horizontal="center"/>
    </xf>
    <xf numFmtId="184" fontId="2" fillId="0" borderId="5" xfId="17" applyNumberFormat="1" applyFont="1" applyFill="1" applyBorder="1" applyAlignment="1">
      <alignment horizontal="center"/>
    </xf>
    <xf numFmtId="184" fontId="2" fillId="0" borderId="47" xfId="17" applyNumberFormat="1" applyFont="1" applyFill="1" applyBorder="1" applyAlignment="1">
      <alignment horizontal="center" vertical="center"/>
    </xf>
    <xf numFmtId="184" fontId="2" fillId="0" borderId="1" xfId="17" applyNumberFormat="1" applyFont="1" applyFill="1" applyBorder="1" applyAlignment="1">
      <alignment horizontal="center" vertical="center"/>
    </xf>
    <xf numFmtId="184" fontId="2" fillId="0" borderId="22" xfId="17" applyNumberFormat="1" applyFont="1" applyFill="1" applyBorder="1" applyAlignment="1">
      <alignment horizontal="center" vertical="center"/>
    </xf>
    <xf numFmtId="184" fontId="2" fillId="0" borderId="17" xfId="17" applyNumberFormat="1" applyFont="1" applyFill="1" applyBorder="1" applyAlignment="1">
      <alignment horizontal="center" vertical="center"/>
    </xf>
    <xf numFmtId="38" fontId="2" fillId="0" borderId="0" xfId="17" applyFont="1" applyFill="1" applyBorder="1" applyAlignment="1">
      <alignment horizontal="left"/>
    </xf>
    <xf numFmtId="38" fontId="2" fillId="0" borderId="70" xfId="17" applyFont="1" applyFill="1" applyBorder="1" applyAlignment="1">
      <alignment horizontal="center" vertical="center" wrapText="1"/>
    </xf>
    <xf numFmtId="38" fontId="2" fillId="0" borderId="24" xfId="17" applyFont="1" applyFill="1" applyBorder="1" applyAlignment="1">
      <alignment horizontal="center" vertical="center" wrapText="1"/>
    </xf>
    <xf numFmtId="38" fontId="2" fillId="0" borderId="45" xfId="17" applyFont="1" applyFill="1" applyBorder="1" applyAlignment="1">
      <alignment horizontal="center" vertical="center" wrapText="1"/>
    </xf>
    <xf numFmtId="38" fontId="2" fillId="0" borderId="14" xfId="17" applyFont="1" applyFill="1" applyBorder="1" applyAlignment="1">
      <alignment horizontal="center" vertical="center" wrapText="1"/>
    </xf>
    <xf numFmtId="38" fontId="13" fillId="0" borderId="15" xfId="17" applyFont="1" applyFill="1" applyBorder="1" applyAlignment="1">
      <alignment horizontal="center" vertical="center" wrapText="1" shrinkToFit="1"/>
    </xf>
    <xf numFmtId="38" fontId="13" fillId="0" borderId="80" xfId="17" applyFont="1" applyFill="1" applyBorder="1" applyAlignment="1">
      <alignment horizontal="center" vertical="center" shrinkToFit="1"/>
    </xf>
    <xf numFmtId="38" fontId="2" fillId="0" borderId="111" xfId="17" applyFont="1" applyFill="1" applyBorder="1" applyAlignment="1">
      <alignment horizontal="center" vertical="center" wrapText="1"/>
    </xf>
    <xf numFmtId="38" fontId="2" fillId="0" borderId="112" xfId="17" applyFont="1" applyFill="1" applyBorder="1" applyAlignment="1">
      <alignment horizontal="center" vertical="center" wrapText="1"/>
    </xf>
    <xf numFmtId="38" fontId="2" fillId="0" borderId="2" xfId="17" applyFont="1" applyFill="1" applyBorder="1" applyAlignment="1">
      <alignment horizontal="center"/>
    </xf>
    <xf numFmtId="38" fontId="2" fillId="0" borderId="70" xfId="17" applyFont="1" applyFill="1" applyBorder="1" applyAlignment="1">
      <alignment horizontal="center"/>
    </xf>
    <xf numFmtId="38" fontId="2" fillId="0" borderId="18" xfId="17" applyFont="1" applyFill="1" applyBorder="1" applyAlignment="1">
      <alignment horizontal="center"/>
    </xf>
    <xf numFmtId="38" fontId="2" fillId="0" borderId="45" xfId="17" applyFont="1" applyFill="1" applyBorder="1" applyAlignment="1">
      <alignment horizontal="center"/>
    </xf>
    <xf numFmtId="38" fontId="2" fillId="0" borderId="45" xfId="17" applyFont="1" applyFill="1" applyBorder="1" applyAlignment="1">
      <alignment horizontal="center" vertical="center"/>
    </xf>
    <xf numFmtId="38" fontId="2" fillId="0" borderId="0" xfId="17" applyFont="1" applyFill="1" applyBorder="1" applyAlignment="1">
      <alignment wrapText="1"/>
    </xf>
    <xf numFmtId="0" fontId="2" fillId="0" borderId="0" xfId="0" applyFont="1" applyFill="1" applyBorder="1" applyAlignment="1">
      <alignment wrapText="1"/>
    </xf>
    <xf numFmtId="38" fontId="2" fillId="0" borderId="22" xfId="17" applyFont="1" applyFill="1" applyBorder="1" applyAlignment="1">
      <alignment horizontal="center" vertical="center"/>
    </xf>
    <xf numFmtId="38" fontId="13" fillId="0" borderId="14" xfId="17" applyFont="1" applyFill="1" applyBorder="1" applyAlignment="1">
      <alignment wrapText="1"/>
    </xf>
    <xf numFmtId="0" fontId="13" fillId="0" borderId="14" xfId="0" applyFont="1" applyFill="1" applyBorder="1" applyAlignment="1">
      <alignment wrapText="1"/>
    </xf>
    <xf numFmtId="38" fontId="2" fillId="0" borderId="24" xfId="17" applyFont="1" applyFill="1" applyBorder="1" applyAlignment="1">
      <alignment horizontal="center"/>
    </xf>
    <xf numFmtId="38" fontId="2" fillId="0" borderId="22" xfId="17" applyFont="1" applyFill="1" applyBorder="1" applyAlignment="1">
      <alignment horizontal="center"/>
    </xf>
    <xf numFmtId="38" fontId="2" fillId="0" borderId="9" xfId="17" applyFont="1" applyFill="1" applyBorder="1" applyAlignment="1">
      <alignment horizontal="center"/>
    </xf>
    <xf numFmtId="38" fontId="2" fillId="0" borderId="24" xfId="17" applyFont="1" applyBorder="1" applyAlignment="1">
      <alignment vertical="top" wrapText="1"/>
    </xf>
    <xf numFmtId="38" fontId="2" fillId="0" borderId="11" xfId="17" applyFont="1" applyBorder="1" applyAlignment="1">
      <alignment vertical="top" wrapText="1"/>
    </xf>
    <xf numFmtId="38" fontId="2" fillId="0" borderId="31" xfId="17" applyFont="1" applyFill="1" applyBorder="1" applyAlignment="1">
      <alignment horizontal="left" vertical="center" wrapText="1"/>
    </xf>
    <xf numFmtId="38" fontId="2" fillId="0" borderId="75" xfId="17" applyFont="1" applyFill="1" applyBorder="1" applyAlignment="1">
      <alignment horizontal="left" vertical="center" wrapText="1"/>
    </xf>
    <xf numFmtId="38" fontId="2" fillId="0" borderId="71" xfId="17" applyFont="1" applyFill="1" applyBorder="1" applyAlignment="1">
      <alignment horizontal="center" wrapText="1"/>
    </xf>
    <xf numFmtId="38" fontId="2" fillId="0" borderId="25" xfId="17" applyFont="1" applyFill="1" applyBorder="1" applyAlignment="1">
      <alignment horizontal="center" wrapText="1"/>
    </xf>
    <xf numFmtId="38" fontId="2" fillId="0" borderId="35" xfId="17" applyFont="1" applyFill="1" applyBorder="1" applyAlignment="1">
      <alignment horizontal="center" vertical="center" wrapText="1"/>
    </xf>
    <xf numFmtId="38" fontId="2" fillId="0" borderId="21" xfId="17" applyFont="1" applyFill="1" applyBorder="1" applyAlignment="1">
      <alignment horizontal="center" vertical="center" wrapText="1"/>
    </xf>
    <xf numFmtId="184" fontId="2" fillId="0" borderId="24" xfId="0" applyNumberFormat="1" applyFont="1" applyFill="1" applyBorder="1" applyAlignment="1">
      <alignment horizontal="right" vertical="center"/>
    </xf>
    <xf numFmtId="184" fontId="2" fillId="0" borderId="1" xfId="0" applyNumberFormat="1" applyFont="1" applyFill="1" applyBorder="1" applyAlignment="1">
      <alignment horizontal="right" vertical="center"/>
    </xf>
    <xf numFmtId="38" fontId="2" fillId="0" borderId="1" xfId="17" applyFont="1" applyFill="1" applyBorder="1" applyAlignment="1">
      <alignment horizontal="left" vertical="center" wrapText="1" indent="1"/>
    </xf>
    <xf numFmtId="38" fontId="2" fillId="0" borderId="71" xfId="17" applyFont="1" applyFill="1" applyBorder="1" applyAlignment="1">
      <alignment horizontal="left" vertical="center" wrapText="1" indent="1"/>
    </xf>
    <xf numFmtId="38" fontId="2" fillId="0" borderId="113" xfId="17" applyFont="1" applyFill="1" applyBorder="1" applyAlignment="1">
      <alignment horizontal="left" wrapText="1"/>
    </xf>
    <xf numFmtId="38" fontId="2" fillId="0" borderId="114" xfId="17" applyFont="1" applyFill="1" applyBorder="1" applyAlignment="1">
      <alignment horizontal="left" wrapText="1"/>
    </xf>
    <xf numFmtId="38" fontId="2" fillId="0" borderId="115" xfId="17" applyFont="1" applyFill="1" applyBorder="1" applyAlignment="1">
      <alignment horizontal="left" wrapText="1"/>
    </xf>
    <xf numFmtId="38" fontId="2" fillId="0" borderId="116" xfId="17" applyFont="1" applyFill="1" applyBorder="1" applyAlignment="1">
      <alignment horizontal="left" wrapText="1"/>
    </xf>
    <xf numFmtId="38" fontId="2" fillId="0" borderId="117" xfId="17" applyFont="1" applyFill="1" applyBorder="1" applyAlignment="1">
      <alignment horizontal="left" wrapText="1"/>
    </xf>
    <xf numFmtId="38" fontId="2" fillId="0" borderId="118" xfId="17" applyFont="1" applyFill="1" applyBorder="1" applyAlignment="1">
      <alignment horizontal="left" wrapText="1"/>
    </xf>
    <xf numFmtId="38" fontId="2" fillId="0" borderId="8" xfId="17" applyFont="1" applyFill="1" applyBorder="1" applyAlignment="1">
      <alignment horizontal="left" vertical="center" wrapText="1"/>
    </xf>
    <xf numFmtId="184" fontId="2" fillId="0" borderId="32" xfId="0" applyNumberFormat="1" applyFont="1" applyFill="1" applyBorder="1" applyAlignment="1">
      <alignment horizontal="right" vertical="center"/>
    </xf>
    <xf numFmtId="184" fontId="2" fillId="0" borderId="65" xfId="0" applyNumberFormat="1" applyFont="1" applyFill="1" applyBorder="1" applyAlignment="1">
      <alignment horizontal="right" vertical="center"/>
    </xf>
    <xf numFmtId="178" fontId="2" fillId="0" borderId="119" xfId="17" applyNumberFormat="1" applyFont="1" applyFill="1" applyBorder="1" applyAlignment="1">
      <alignment horizontal="right" vertical="center"/>
    </xf>
    <xf numFmtId="178" fontId="2" fillId="0" borderId="16" xfId="17" applyNumberFormat="1" applyFont="1" applyFill="1" applyBorder="1" applyAlignment="1">
      <alignment horizontal="right" vertical="center"/>
    </xf>
    <xf numFmtId="178" fontId="2" fillId="0" borderId="32" xfId="17" applyNumberFormat="1" applyFont="1" applyFill="1" applyBorder="1" applyAlignment="1">
      <alignment horizontal="right" vertical="center"/>
    </xf>
    <xf numFmtId="38" fontId="13" fillId="0" borderId="0" xfId="17" applyFont="1" applyFill="1" applyBorder="1" applyAlignment="1">
      <alignment horizontal="left" vertical="center" wrapText="1"/>
    </xf>
    <xf numFmtId="0" fontId="13" fillId="0" borderId="0" xfId="0" applyFont="1" applyAlignment="1">
      <alignment wrapText="1"/>
    </xf>
    <xf numFmtId="38" fontId="2" fillId="0" borderId="1" xfId="17" applyFont="1" applyFill="1" applyBorder="1" applyAlignment="1">
      <alignment horizontal="left" wrapText="1" indent="1"/>
    </xf>
    <xf numFmtId="38" fontId="2" fillId="0" borderId="1" xfId="17" applyFont="1" applyFill="1" applyBorder="1" applyAlignment="1">
      <alignment horizontal="center" wrapText="1"/>
    </xf>
    <xf numFmtId="38" fontId="2" fillId="0" borderId="22" xfId="17" applyFont="1" applyFill="1" applyBorder="1" applyAlignment="1">
      <alignment horizontal="center" wrapText="1"/>
    </xf>
    <xf numFmtId="184" fontId="2" fillId="0" borderId="34" xfId="17" applyNumberFormat="1" applyFont="1" applyFill="1" applyBorder="1" applyAlignment="1">
      <alignment horizontal="right" vertical="center"/>
    </xf>
    <xf numFmtId="184" fontId="2" fillId="0" borderId="35" xfId="17" applyNumberFormat="1" applyFont="1" applyFill="1" applyBorder="1" applyAlignment="1">
      <alignment horizontal="right" vertical="center"/>
    </xf>
    <xf numFmtId="184" fontId="2" fillId="0" borderId="3" xfId="0" applyNumberFormat="1" applyFont="1" applyFill="1" applyBorder="1" applyAlignment="1">
      <alignment horizontal="right" vertical="center"/>
    </xf>
    <xf numFmtId="184" fontId="2" fillId="0" borderId="11" xfId="0" applyNumberFormat="1" applyFont="1" applyFill="1" applyBorder="1" applyAlignment="1">
      <alignment horizontal="right" vertical="center"/>
    </xf>
    <xf numFmtId="38" fontId="16" fillId="0" borderId="17" xfId="17" applyFont="1" applyFill="1" applyBorder="1" applyAlignment="1">
      <alignment horizontal="left" wrapText="1"/>
    </xf>
    <xf numFmtId="38" fontId="16" fillId="0" borderId="45" xfId="17" applyFont="1" applyFill="1" applyBorder="1" applyAlignment="1">
      <alignment horizontal="left" wrapText="1"/>
    </xf>
    <xf numFmtId="38" fontId="2" fillId="0" borderId="5" xfId="17" applyFont="1" applyFill="1" applyBorder="1" applyAlignment="1">
      <alignment horizontal="center" wrapText="1"/>
    </xf>
    <xf numFmtId="38" fontId="2" fillId="0" borderId="13" xfId="17" applyFont="1" applyFill="1" applyBorder="1" applyAlignment="1">
      <alignment horizontal="center" wrapText="1"/>
    </xf>
    <xf numFmtId="38" fontId="2" fillId="0" borderId="1" xfId="17" applyFont="1" applyFill="1" applyBorder="1" applyAlignment="1">
      <alignment horizontal="left"/>
    </xf>
    <xf numFmtId="38" fontId="2" fillId="0" borderId="17" xfId="17" applyFont="1" applyFill="1" applyBorder="1" applyAlignment="1">
      <alignment horizontal="left"/>
    </xf>
    <xf numFmtId="38" fontId="2" fillId="0" borderId="9" xfId="17" applyFont="1" applyFill="1" applyBorder="1" applyAlignment="1">
      <alignment horizontal="center" vertical="center"/>
    </xf>
    <xf numFmtId="38" fontId="2" fillId="0" borderId="0" xfId="17" applyFont="1" applyFill="1" applyAlignment="1">
      <alignment horizontal="right"/>
    </xf>
    <xf numFmtId="38" fontId="2" fillId="2" borderId="27" xfId="17" applyFont="1" applyFill="1" applyBorder="1" applyAlignment="1">
      <alignment horizontal="center" vertical="center"/>
    </xf>
    <xf numFmtId="38" fontId="2" fillId="2" borderId="22" xfId="17" applyFont="1" applyFill="1" applyBorder="1" applyAlignment="1">
      <alignment horizontal="center" vertical="center"/>
    </xf>
    <xf numFmtId="38" fontId="2" fillId="0" borderId="83" xfId="17" applyFont="1" applyFill="1" applyBorder="1" applyAlignment="1">
      <alignment horizontal="right" vertical="center"/>
    </xf>
    <xf numFmtId="38" fontId="2" fillId="0" borderId="58" xfId="17" applyFont="1" applyFill="1" applyBorder="1" applyAlignment="1">
      <alignment horizontal="right" vertical="center"/>
    </xf>
    <xf numFmtId="38" fontId="2" fillId="0" borderId="32" xfId="17" applyFont="1" applyFill="1" applyBorder="1" applyAlignment="1">
      <alignment horizontal="right" vertical="center"/>
    </xf>
    <xf numFmtId="38" fontId="2" fillId="0" borderId="24" xfId="17" applyFont="1" applyFill="1" applyBorder="1" applyAlignment="1">
      <alignment horizontal="right" vertical="center"/>
    </xf>
    <xf numFmtId="38" fontId="2" fillId="2" borderId="9" xfId="17" applyFont="1" applyFill="1" applyBorder="1" applyAlignment="1">
      <alignment horizontal="center" vertical="center"/>
    </xf>
    <xf numFmtId="38" fontId="2" fillId="2" borderId="18" xfId="17" applyFont="1" applyFill="1" applyBorder="1" applyAlignment="1">
      <alignment horizontal="center" vertical="center"/>
    </xf>
    <xf numFmtId="38" fontId="2" fillId="2" borderId="24" xfId="17" applyFont="1" applyFill="1" applyBorder="1" applyAlignment="1">
      <alignment horizontal="center" vertical="center"/>
    </xf>
    <xf numFmtId="38" fontId="2" fillId="0" borderId="47" xfId="17" applyFont="1" applyFill="1" applyBorder="1" applyAlignment="1">
      <alignment horizontal="center" vertical="center"/>
    </xf>
    <xf numFmtId="38" fontId="2" fillId="0" borderId="63" xfId="17" applyFont="1" applyFill="1" applyBorder="1" applyAlignment="1">
      <alignment horizontal="center" vertical="center"/>
    </xf>
    <xf numFmtId="38" fontId="2" fillId="0" borderId="0" xfId="17" applyFont="1" applyFill="1" applyAlignment="1">
      <alignment horizontal="left" vertical="center"/>
    </xf>
    <xf numFmtId="38" fontId="2" fillId="0" borderId="46" xfId="17" applyFont="1" applyFill="1" applyBorder="1" applyAlignment="1">
      <alignment horizontal="center" vertical="center"/>
    </xf>
    <xf numFmtId="38" fontId="2" fillId="0" borderId="106" xfId="17" applyFont="1" applyFill="1" applyBorder="1" applyAlignment="1">
      <alignment horizontal="center" vertical="center"/>
    </xf>
    <xf numFmtId="38" fontId="2" fillId="0" borderId="0" xfId="17" applyFont="1" applyFill="1" applyBorder="1" applyAlignment="1">
      <alignment horizontal="right" vertical="center"/>
    </xf>
    <xf numFmtId="38" fontId="2" fillId="0" borderId="0" xfId="17" applyFont="1" applyFill="1" applyBorder="1" applyAlignment="1">
      <alignment horizontal="right" vertical="top"/>
    </xf>
    <xf numFmtId="38" fontId="2" fillId="0" borderId="22" xfId="17" applyFont="1" applyFill="1" applyBorder="1" applyAlignment="1">
      <alignment horizontal="distributed" vertical="center"/>
    </xf>
    <xf numFmtId="38" fontId="2" fillId="0" borderId="9" xfId="17" applyFont="1" applyFill="1" applyBorder="1" applyAlignment="1">
      <alignment horizontal="distributed" vertical="center"/>
    </xf>
    <xf numFmtId="0" fontId="13" fillId="0" borderId="17" xfId="22" applyFont="1" applyFill="1" applyBorder="1" applyAlignment="1">
      <alignment horizontal="left" wrapText="1"/>
      <protection/>
    </xf>
    <xf numFmtId="0" fontId="13" fillId="0" borderId="18" xfId="22" applyFont="1" applyFill="1" applyBorder="1" applyAlignment="1">
      <alignment horizontal="left" wrapText="1"/>
      <protection/>
    </xf>
    <xf numFmtId="0" fontId="13" fillId="0" borderId="24" xfId="22" applyFont="1" applyFill="1" applyBorder="1" applyAlignment="1">
      <alignment horizontal="left" wrapText="1"/>
      <protection/>
    </xf>
    <xf numFmtId="0" fontId="13" fillId="0" borderId="18" xfId="0" applyFont="1" applyFill="1" applyBorder="1" applyAlignment="1">
      <alignment horizontal="left" wrapText="1"/>
    </xf>
    <xf numFmtId="0" fontId="13" fillId="0" borderId="24" xfId="0" applyFont="1" applyFill="1" applyBorder="1" applyAlignment="1">
      <alignment horizontal="left" wrapText="1"/>
    </xf>
    <xf numFmtId="0" fontId="13" fillId="0" borderId="1" xfId="22" applyFont="1" applyFill="1" applyBorder="1" applyAlignment="1">
      <alignment horizontal="left" wrapText="1"/>
      <protection/>
    </xf>
    <xf numFmtId="0" fontId="13" fillId="0" borderId="1" xfId="0" applyFont="1" applyFill="1" applyBorder="1" applyAlignment="1">
      <alignment horizontal="left" wrapText="1"/>
    </xf>
    <xf numFmtId="0" fontId="13" fillId="0" borderId="1" xfId="23" applyFont="1" applyFill="1" applyBorder="1" applyAlignment="1">
      <alignment horizontal="left" wrapText="1"/>
      <protection/>
    </xf>
    <xf numFmtId="0" fontId="19" fillId="0" borderId="1" xfId="0" applyFont="1" applyFill="1" applyBorder="1" applyAlignment="1">
      <alignment horizontal="left"/>
    </xf>
    <xf numFmtId="0" fontId="13" fillId="0" borderId="1" xfId="22" applyFont="1" applyFill="1" applyBorder="1" applyAlignment="1">
      <alignment horizontal="left"/>
      <protection/>
    </xf>
    <xf numFmtId="0" fontId="13" fillId="0" borderId="17" xfId="0" applyFont="1" applyFill="1" applyBorder="1" applyAlignment="1">
      <alignment horizontal="left" wrapText="1"/>
    </xf>
    <xf numFmtId="0" fontId="13" fillId="0" borderId="1" xfId="23" applyFont="1" applyFill="1" applyBorder="1" applyAlignment="1">
      <alignment horizontal="left"/>
      <protection/>
    </xf>
    <xf numFmtId="0" fontId="13" fillId="0" borderId="18" xfId="0" applyFont="1" applyFill="1" applyBorder="1" applyAlignment="1">
      <alignment horizontal="left"/>
    </xf>
    <xf numFmtId="0" fontId="13" fillId="0" borderId="24" xfId="0" applyFont="1" applyFill="1" applyBorder="1" applyAlignment="1">
      <alignment horizontal="left"/>
    </xf>
    <xf numFmtId="0" fontId="13" fillId="0" borderId="17" xfId="0" applyFont="1" applyFill="1" applyBorder="1" applyAlignment="1">
      <alignment horizontal="left"/>
    </xf>
    <xf numFmtId="0" fontId="0" fillId="0" borderId="0" xfId="0" applyFont="1" applyFill="1" applyAlignment="1">
      <alignment/>
    </xf>
    <xf numFmtId="0" fontId="13" fillId="0" borderId="17" xfId="23" applyFont="1" applyFill="1" applyBorder="1" applyAlignment="1">
      <alignment horizontal="left" wrapText="1"/>
      <protection/>
    </xf>
    <xf numFmtId="0" fontId="13" fillId="0" borderId="18" xfId="23" applyFont="1" applyFill="1" applyBorder="1" applyAlignment="1">
      <alignment horizontal="left"/>
      <protection/>
    </xf>
    <xf numFmtId="0" fontId="13" fillId="0" borderId="24" xfId="23" applyFont="1" applyFill="1" applyBorder="1" applyAlignment="1">
      <alignment horizontal="left"/>
      <protection/>
    </xf>
    <xf numFmtId="0" fontId="13" fillId="0" borderId="17" xfId="22" applyFont="1" applyFill="1" applyBorder="1" applyAlignment="1">
      <alignment horizontal="left"/>
      <protection/>
    </xf>
    <xf numFmtId="0" fontId="13" fillId="0" borderId="18" xfId="22" applyFont="1" applyFill="1" applyBorder="1" applyAlignment="1">
      <alignment horizontal="left"/>
      <protection/>
    </xf>
    <xf numFmtId="0" fontId="13" fillId="0" borderId="24" xfId="22" applyFont="1" applyFill="1" applyBorder="1" applyAlignment="1">
      <alignment horizontal="left"/>
      <protection/>
    </xf>
    <xf numFmtId="0" fontId="13" fillId="0" borderId="18" xfId="23" applyFont="1" applyFill="1" applyBorder="1" applyAlignment="1">
      <alignment horizontal="left" wrapText="1"/>
      <protection/>
    </xf>
    <xf numFmtId="0" fontId="13" fillId="0" borderId="24" xfId="23" applyFont="1" applyFill="1" applyBorder="1" applyAlignment="1">
      <alignment horizontal="left" wrapText="1"/>
      <protection/>
    </xf>
    <xf numFmtId="0" fontId="13" fillId="0" borderId="17" xfId="0" applyFont="1" applyFill="1" applyBorder="1" applyAlignment="1">
      <alignment shrinkToFit="1"/>
    </xf>
    <xf numFmtId="0" fontId="19" fillId="0" borderId="18" xfId="0" applyFont="1" applyFill="1" applyBorder="1" applyAlignment="1">
      <alignment shrinkToFit="1"/>
    </xf>
    <xf numFmtId="0" fontId="19" fillId="0" borderId="24" xfId="0" applyFont="1" applyFill="1" applyBorder="1" applyAlignment="1">
      <alignment shrinkToFit="1"/>
    </xf>
    <xf numFmtId="0" fontId="13" fillId="0" borderId="1" xfId="0" applyFont="1" applyFill="1" applyBorder="1" applyAlignment="1">
      <alignment/>
    </xf>
    <xf numFmtId="0" fontId="19" fillId="0" borderId="1" xfId="0" applyFont="1" applyFill="1" applyBorder="1" applyAlignment="1">
      <alignment/>
    </xf>
    <xf numFmtId="0" fontId="13" fillId="0" borderId="17" xfId="0" applyFont="1" applyFill="1" applyBorder="1" applyAlignment="1">
      <alignment horizontal="left" shrinkToFit="1"/>
    </xf>
    <xf numFmtId="0" fontId="13" fillId="0" borderId="18" xfId="0" applyFont="1" applyFill="1" applyBorder="1" applyAlignment="1">
      <alignment horizontal="left" shrinkToFit="1"/>
    </xf>
    <xf numFmtId="0" fontId="13" fillId="0" borderId="24" xfId="0" applyFont="1" applyFill="1" applyBorder="1" applyAlignment="1">
      <alignment horizontal="left" shrinkToFit="1"/>
    </xf>
    <xf numFmtId="0" fontId="13" fillId="0" borderId="17" xfId="23" applyFont="1" applyFill="1" applyBorder="1" applyAlignment="1">
      <alignment wrapText="1"/>
      <protection/>
    </xf>
    <xf numFmtId="0" fontId="19" fillId="0" borderId="18" xfId="0" applyFont="1" applyBorder="1" applyAlignment="1">
      <alignment wrapText="1"/>
    </xf>
    <xf numFmtId="0" fontId="19" fillId="0" borderId="24" xfId="0" applyFont="1" applyBorder="1" applyAlignment="1">
      <alignment wrapText="1"/>
    </xf>
    <xf numFmtId="0" fontId="13" fillId="0" borderId="18" xfId="23" applyFont="1" applyFill="1" applyBorder="1" applyAlignment="1">
      <alignment wrapText="1"/>
      <protection/>
    </xf>
    <xf numFmtId="0" fontId="13" fillId="0" borderId="24" xfId="23" applyFont="1" applyFill="1" applyBorder="1" applyAlignment="1">
      <alignment wrapText="1"/>
      <protection/>
    </xf>
    <xf numFmtId="0" fontId="2" fillId="0" borderId="0" xfId="23" applyFont="1" applyFill="1" applyAlignment="1">
      <alignment horizontal="left"/>
      <protection/>
    </xf>
    <xf numFmtId="0" fontId="13" fillId="0" borderId="1" xfId="0" applyFont="1" applyFill="1" applyBorder="1" applyAlignment="1">
      <alignment horizontal="left"/>
    </xf>
    <xf numFmtId="0" fontId="21" fillId="0" borderId="1" xfId="0" applyFont="1" applyFill="1" applyBorder="1" applyAlignment="1">
      <alignment horizontal="left" wrapText="1"/>
    </xf>
    <xf numFmtId="0" fontId="19" fillId="0" borderId="1" xfId="0" applyFont="1" applyBorder="1" applyAlignment="1">
      <alignment/>
    </xf>
    <xf numFmtId="0" fontId="19" fillId="0" borderId="17" xfId="0" applyFont="1" applyBorder="1" applyAlignment="1">
      <alignment/>
    </xf>
    <xf numFmtId="0" fontId="21" fillId="0" borderId="1" xfId="0" applyFont="1" applyFill="1" applyBorder="1" applyAlignment="1">
      <alignment horizontal="left"/>
    </xf>
    <xf numFmtId="0" fontId="19" fillId="0" borderId="1" xfId="0" applyFont="1" applyBorder="1" applyAlignment="1">
      <alignment wrapText="1"/>
    </xf>
    <xf numFmtId="0" fontId="19" fillId="0" borderId="17" xfId="0" applyFont="1" applyBorder="1" applyAlignment="1">
      <alignment wrapText="1"/>
    </xf>
    <xf numFmtId="0" fontId="2" fillId="0" borderId="0" xfId="0" applyFont="1" applyFill="1" applyAlignment="1">
      <alignment horizontal="center"/>
    </xf>
    <xf numFmtId="0" fontId="23" fillId="0" borderId="1" xfId="0" applyFont="1" applyFill="1" applyBorder="1" applyAlignment="1">
      <alignment vertical="center" wrapText="1"/>
    </xf>
    <xf numFmtId="0" fontId="23" fillId="0" borderId="1" xfId="0" applyFont="1" applyBorder="1" applyAlignment="1">
      <alignment vertical="center" wrapText="1"/>
    </xf>
    <xf numFmtId="0" fontId="2" fillId="0" borderId="1" xfId="0" applyFont="1" applyBorder="1" applyAlignment="1">
      <alignment vertical="center" wrapText="1"/>
    </xf>
    <xf numFmtId="189" fontId="23" fillId="0" borderId="1" xfId="0" applyNumberFormat="1" applyFont="1" applyFill="1" applyBorder="1" applyAlignment="1">
      <alignment vertical="center" wrapText="1"/>
    </xf>
    <xf numFmtId="0" fontId="23" fillId="0" borderId="1" xfId="0" applyFont="1" applyFill="1" applyBorder="1" applyAlignment="1">
      <alignment vertical="center"/>
    </xf>
    <xf numFmtId="0" fontId="23" fillId="0" borderId="1" xfId="0" applyFont="1" applyBorder="1" applyAlignment="1">
      <alignment vertical="center"/>
    </xf>
    <xf numFmtId="0" fontId="24" fillId="0" borderId="1" xfId="0" applyFont="1" applyFill="1" applyBorder="1" applyAlignment="1">
      <alignment vertical="center" wrapText="1"/>
    </xf>
    <xf numFmtId="0" fontId="24" fillId="0" borderId="1" xfId="0" applyFont="1" applyBorder="1" applyAlignment="1">
      <alignment vertical="center" wrapText="1"/>
    </xf>
    <xf numFmtId="189" fontId="24" fillId="0" borderId="1" xfId="0" applyNumberFormat="1" applyFont="1" applyFill="1" applyBorder="1" applyAlignment="1">
      <alignment vertical="center" wrapText="1"/>
    </xf>
    <xf numFmtId="0" fontId="23" fillId="0" borderId="1" xfId="0" applyFont="1" applyFill="1" applyBorder="1" applyAlignment="1">
      <alignment horizontal="center"/>
    </xf>
    <xf numFmtId="0" fontId="23" fillId="0" borderId="1" xfId="0" applyFont="1" applyBorder="1" applyAlignment="1">
      <alignment horizontal="center"/>
    </xf>
    <xf numFmtId="0" fontId="2" fillId="0" borderId="1" xfId="0" applyFont="1" applyBorder="1" applyAlignment="1">
      <alignment/>
    </xf>
    <xf numFmtId="0" fontId="23" fillId="0" borderId="17" xfId="0" applyFont="1" applyFill="1" applyBorder="1" applyAlignment="1">
      <alignment vertical="center" wrapText="1"/>
    </xf>
    <xf numFmtId="0" fontId="23" fillId="0" borderId="24" xfId="0" applyFont="1" applyBorder="1" applyAlignment="1">
      <alignmen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 2" xfId="21"/>
    <cellStyle name="標準_Sheet1" xfId="22"/>
    <cellStyle name="標準_Sheet2"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2</xdr:row>
      <xdr:rowOff>66675</xdr:rowOff>
    </xdr:from>
    <xdr:to>
      <xdr:col>9</xdr:col>
      <xdr:colOff>400050</xdr:colOff>
      <xdr:row>2</xdr:row>
      <xdr:rowOff>142875</xdr:rowOff>
    </xdr:to>
    <xdr:sp>
      <xdr:nvSpPr>
        <xdr:cNvPr id="1" name="AutoShape 1"/>
        <xdr:cNvSpPr>
          <a:spLocks/>
        </xdr:cNvSpPr>
      </xdr:nvSpPr>
      <xdr:spPr>
        <a:xfrm>
          <a:off x="6057900" y="742950"/>
          <a:ext cx="2571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1"/>
  <sheetViews>
    <sheetView tabSelected="1" zoomScale="85" zoomScaleNormal="85" workbookViewId="0" topLeftCell="A1">
      <selection activeCell="A1" sqref="A1"/>
    </sheetView>
  </sheetViews>
  <sheetFormatPr defaultColWidth="9.00390625" defaultRowHeight="13.5"/>
  <cols>
    <col min="1" max="1" width="3.625" style="0" customWidth="1"/>
    <col min="2" max="2" width="9.125" style="0" customWidth="1"/>
    <col min="5" max="5" width="6.375" style="0" customWidth="1"/>
    <col min="6" max="6" width="12.625" style="0" customWidth="1"/>
    <col min="9" max="9" width="9.125" style="0" customWidth="1"/>
    <col min="10" max="10" width="3.625" style="0" customWidth="1"/>
  </cols>
  <sheetData>
    <row r="1" ht="13.5">
      <c r="A1" t="s">
        <v>139</v>
      </c>
    </row>
    <row r="3" spans="1:10" ht="28.5">
      <c r="A3" s="463" t="s">
        <v>365</v>
      </c>
      <c r="B3" s="463"/>
      <c r="C3" s="463"/>
      <c r="D3" s="463"/>
      <c r="E3" s="463"/>
      <c r="F3" s="463"/>
      <c r="G3" s="463"/>
      <c r="H3" s="463"/>
      <c r="I3" s="463"/>
      <c r="J3" s="463"/>
    </row>
    <row r="4" spans="1:9" ht="24">
      <c r="A4" s="1"/>
      <c r="B4" s="1"/>
      <c r="C4" s="1"/>
      <c r="D4" s="1"/>
      <c r="E4" s="1"/>
      <c r="F4" s="1"/>
      <c r="G4" s="1"/>
      <c r="H4" s="1"/>
      <c r="I4" s="1"/>
    </row>
    <row r="5" spans="1:9" ht="24">
      <c r="A5" s="1"/>
      <c r="B5" s="1"/>
      <c r="C5" s="1"/>
      <c r="D5" s="1"/>
      <c r="E5" s="1"/>
      <c r="F5" s="1"/>
      <c r="G5" s="1"/>
      <c r="H5" s="1"/>
      <c r="I5" s="1"/>
    </row>
    <row r="6" spans="1:9" ht="24">
      <c r="A6" s="1"/>
      <c r="B6" s="1"/>
      <c r="C6" s="1"/>
      <c r="D6" s="1"/>
      <c r="E6" s="1"/>
      <c r="F6" s="1"/>
      <c r="G6" s="1"/>
      <c r="H6" s="1"/>
      <c r="I6" s="1"/>
    </row>
    <row r="8" spans="1:10" ht="42">
      <c r="A8" s="462" t="s">
        <v>339</v>
      </c>
      <c r="B8" s="462"/>
      <c r="C8" s="462"/>
      <c r="D8" s="462"/>
      <c r="E8" s="462"/>
      <c r="F8" s="462"/>
      <c r="G8" s="462"/>
      <c r="H8" s="462"/>
      <c r="I8" s="462"/>
      <c r="J8" s="462"/>
    </row>
    <row r="9" spans="1:9" ht="32.25">
      <c r="A9" s="2"/>
      <c r="B9" s="2"/>
      <c r="C9" s="2"/>
      <c r="D9" s="2"/>
      <c r="E9" s="2"/>
      <c r="F9" s="2"/>
      <c r="G9" s="2"/>
      <c r="H9" s="2"/>
      <c r="I9" s="2"/>
    </row>
    <row r="10" spans="1:9" ht="32.25">
      <c r="A10" s="2"/>
      <c r="B10" s="2"/>
      <c r="C10" s="2"/>
      <c r="D10" s="2"/>
      <c r="E10" s="2"/>
      <c r="F10" s="2"/>
      <c r="G10" s="2"/>
      <c r="H10" s="2"/>
      <c r="I10" s="2"/>
    </row>
    <row r="11" spans="1:9" ht="32.25">
      <c r="A11" s="2"/>
      <c r="B11" s="2"/>
      <c r="C11" s="2"/>
      <c r="D11" s="2"/>
      <c r="E11" s="2"/>
      <c r="F11" s="2"/>
      <c r="G11" s="2"/>
      <c r="H11" s="2"/>
      <c r="I11" s="2"/>
    </row>
    <row r="12" spans="1:9" ht="28.5">
      <c r="A12" s="3"/>
      <c r="B12" s="3"/>
      <c r="C12" s="3"/>
      <c r="D12" s="3"/>
      <c r="E12" s="3"/>
      <c r="F12" s="3"/>
      <c r="G12" s="3"/>
      <c r="H12" s="3"/>
      <c r="I12" s="3"/>
    </row>
    <row r="13" spans="1:9" ht="28.5">
      <c r="A13" s="3"/>
      <c r="B13" s="3"/>
      <c r="C13" s="3"/>
      <c r="D13" s="3"/>
      <c r="E13" s="3"/>
      <c r="F13" s="3"/>
      <c r="G13" s="3"/>
      <c r="H13" s="3"/>
      <c r="I13" s="3"/>
    </row>
    <row r="16" spans="1:9" ht="24">
      <c r="A16" s="464" t="s">
        <v>169</v>
      </c>
      <c r="B16" s="464"/>
      <c r="C16" s="464"/>
      <c r="D16" s="464"/>
      <c r="E16" s="464"/>
      <c r="F16" s="464"/>
      <c r="G16" s="464"/>
      <c r="H16" s="464"/>
      <c r="I16" s="464"/>
    </row>
    <row r="17" spans="1:9" ht="24">
      <c r="A17" s="4"/>
      <c r="B17" s="4"/>
      <c r="C17" s="4"/>
      <c r="D17" s="4"/>
      <c r="E17" s="4"/>
      <c r="F17" s="4"/>
      <c r="G17" s="4"/>
      <c r="H17" s="4"/>
      <c r="I17" s="4"/>
    </row>
    <row r="18" spans="1:9" ht="24">
      <c r="A18" s="4"/>
      <c r="B18" s="4"/>
      <c r="C18" s="4"/>
      <c r="D18" s="4"/>
      <c r="E18" s="4"/>
      <c r="F18" s="4"/>
      <c r="G18" s="4"/>
      <c r="H18" s="4"/>
      <c r="I18" s="4"/>
    </row>
    <row r="20" spans="2:8" ht="17.25">
      <c r="B20" s="457" t="s">
        <v>170</v>
      </c>
      <c r="C20" s="457"/>
      <c r="D20" s="457"/>
      <c r="F20" t="s">
        <v>171</v>
      </c>
      <c r="G20" s="6" t="s">
        <v>235</v>
      </c>
      <c r="H20" s="6"/>
    </row>
    <row r="21" spans="2:9" ht="17.25" customHeight="1">
      <c r="B21" s="5"/>
      <c r="C21" s="5"/>
      <c r="D21" s="7"/>
      <c r="F21" s="456" t="s">
        <v>184</v>
      </c>
      <c r="G21" s="456"/>
      <c r="H21" s="456"/>
      <c r="I21" s="456"/>
    </row>
    <row r="22" spans="2:9" ht="17.25">
      <c r="B22" s="457" t="s">
        <v>172</v>
      </c>
      <c r="C22" s="457"/>
      <c r="D22" s="457"/>
      <c r="F22" t="s">
        <v>173</v>
      </c>
      <c r="G22" s="459" t="s">
        <v>236</v>
      </c>
      <c r="H22" s="459"/>
      <c r="I22" s="459"/>
    </row>
    <row r="23" spans="2:9" ht="17.25" customHeight="1">
      <c r="B23" s="5"/>
      <c r="C23" s="5"/>
      <c r="D23" s="7"/>
      <c r="F23" s="456" t="s">
        <v>185</v>
      </c>
      <c r="G23" s="456"/>
      <c r="H23" s="456"/>
      <c r="I23" s="456"/>
    </row>
    <row r="24" spans="2:8" ht="17.25">
      <c r="B24" s="457" t="s">
        <v>174</v>
      </c>
      <c r="C24" s="457"/>
      <c r="D24" s="457"/>
      <c r="F24" t="s">
        <v>175</v>
      </c>
      <c r="G24" s="6" t="s">
        <v>269</v>
      </c>
      <c r="H24" s="6"/>
    </row>
    <row r="25" spans="2:9" ht="17.25" customHeight="1">
      <c r="B25" s="5"/>
      <c r="C25" s="5"/>
      <c r="D25" s="7"/>
      <c r="F25" s="456" t="s">
        <v>187</v>
      </c>
      <c r="G25" s="456"/>
      <c r="H25" s="456"/>
      <c r="I25" s="456"/>
    </row>
    <row r="26" spans="2:9" ht="17.25">
      <c r="B26" s="457" t="s">
        <v>178</v>
      </c>
      <c r="C26" s="457"/>
      <c r="D26" s="457"/>
      <c r="F26" t="s">
        <v>179</v>
      </c>
      <c r="G26" s="459" t="s">
        <v>238</v>
      </c>
      <c r="H26" s="459"/>
      <c r="I26" s="459"/>
    </row>
    <row r="27" spans="6:9" ht="17.25" customHeight="1">
      <c r="F27" s="456" t="s">
        <v>189</v>
      </c>
      <c r="G27" s="456"/>
      <c r="H27" s="456"/>
      <c r="I27" s="456"/>
    </row>
    <row r="28" spans="2:8" ht="17.25">
      <c r="B28" s="457" t="s">
        <v>176</v>
      </c>
      <c r="C28" s="457"/>
      <c r="D28" s="457"/>
      <c r="F28" t="s">
        <v>177</v>
      </c>
      <c r="G28" s="6" t="s">
        <v>237</v>
      </c>
      <c r="H28" s="6"/>
    </row>
    <row r="29" spans="2:9" ht="17.25" customHeight="1">
      <c r="B29" s="5"/>
      <c r="C29" s="5"/>
      <c r="D29" s="7"/>
      <c r="F29" s="456" t="s">
        <v>188</v>
      </c>
      <c r="G29" s="456"/>
      <c r="H29" s="456"/>
      <c r="I29" s="456"/>
    </row>
    <row r="30" spans="2:8" ht="17.25">
      <c r="B30" s="457" t="s">
        <v>213</v>
      </c>
      <c r="C30" s="457"/>
      <c r="D30" s="457"/>
      <c r="F30" t="s">
        <v>215</v>
      </c>
      <c r="G30" s="6" t="s">
        <v>270</v>
      </c>
      <c r="H30" s="6"/>
    </row>
    <row r="31" spans="6:9" ht="17.25" customHeight="1">
      <c r="F31" s="456" t="s">
        <v>216</v>
      </c>
      <c r="G31" s="456"/>
      <c r="H31" s="456"/>
      <c r="I31" s="456"/>
    </row>
    <row r="32" spans="2:8" ht="17.25">
      <c r="B32" s="457" t="s">
        <v>195</v>
      </c>
      <c r="C32" s="457"/>
      <c r="D32" s="457"/>
      <c r="F32" t="s">
        <v>197</v>
      </c>
      <c r="G32" s="6" t="s">
        <v>239</v>
      </c>
      <c r="H32" s="6"/>
    </row>
    <row r="33" spans="6:9" ht="17.25" customHeight="1">
      <c r="F33" s="456" t="s">
        <v>196</v>
      </c>
      <c r="G33" s="456"/>
      <c r="H33" s="456"/>
      <c r="I33" s="456"/>
    </row>
    <row r="34" spans="2:8" ht="17.25">
      <c r="B34" s="457" t="s">
        <v>214</v>
      </c>
      <c r="C34" s="457"/>
      <c r="D34" s="457"/>
      <c r="F34" t="s">
        <v>217</v>
      </c>
      <c r="G34" s="6" t="s">
        <v>271</v>
      </c>
      <c r="H34" s="6"/>
    </row>
    <row r="35" spans="6:9" ht="17.25" customHeight="1">
      <c r="F35" s="456" t="s">
        <v>218</v>
      </c>
      <c r="G35" s="456"/>
      <c r="H35" s="456"/>
      <c r="I35" s="456"/>
    </row>
    <row r="36" spans="2:8" ht="17.25">
      <c r="B36" s="458" t="s">
        <v>296</v>
      </c>
      <c r="C36" s="458"/>
      <c r="D36" s="458"/>
      <c r="F36" t="s">
        <v>198</v>
      </c>
      <c r="G36" s="12" t="s">
        <v>297</v>
      </c>
      <c r="H36" s="6"/>
    </row>
    <row r="37" spans="6:9" ht="17.25" customHeight="1">
      <c r="F37" s="456" t="s">
        <v>202</v>
      </c>
      <c r="G37" s="456"/>
      <c r="H37" s="456"/>
      <c r="I37" s="456"/>
    </row>
    <row r="38" spans="2:9" ht="14.25">
      <c r="B38" s="465" t="s">
        <v>309</v>
      </c>
      <c r="C38" s="465"/>
      <c r="D38" s="465"/>
      <c r="E38" s="14"/>
      <c r="F38" s="14" t="s">
        <v>310</v>
      </c>
      <c r="G38" s="12" t="s">
        <v>311</v>
      </c>
      <c r="H38" s="12"/>
      <c r="I38" s="12"/>
    </row>
    <row r="39" spans="2:9" ht="17.25" customHeight="1">
      <c r="B39" s="5"/>
      <c r="C39" s="5"/>
      <c r="D39" s="7"/>
      <c r="F39" s="456" t="s">
        <v>186</v>
      </c>
      <c r="G39" s="456"/>
      <c r="H39" s="456"/>
      <c r="I39" s="456"/>
    </row>
    <row r="40" spans="2:10" ht="13.5">
      <c r="B40" s="13"/>
      <c r="C40" s="13"/>
      <c r="D40" s="13"/>
      <c r="E40" s="13"/>
      <c r="F40" s="13"/>
      <c r="G40" s="13"/>
      <c r="H40" s="13"/>
      <c r="I40" s="13"/>
      <c r="J40" s="13"/>
    </row>
    <row r="41" spans="6:9" ht="13.5">
      <c r="F41" s="460">
        <v>41389</v>
      </c>
      <c r="G41" s="461"/>
      <c r="H41" s="461"/>
      <c r="I41" s="461"/>
    </row>
    <row r="43" ht="17.25" customHeight="1"/>
    <row r="44" ht="17.25" customHeight="1"/>
  </sheetData>
  <mergeCells count="26">
    <mergeCell ref="F41:I41"/>
    <mergeCell ref="A8:J8"/>
    <mergeCell ref="A3:J3"/>
    <mergeCell ref="F23:I23"/>
    <mergeCell ref="F29:I29"/>
    <mergeCell ref="B26:D26"/>
    <mergeCell ref="G26:I26"/>
    <mergeCell ref="F27:I27"/>
    <mergeCell ref="A16:I16"/>
    <mergeCell ref="B38:D38"/>
    <mergeCell ref="F35:I35"/>
    <mergeCell ref="B20:D20"/>
    <mergeCell ref="B24:D24"/>
    <mergeCell ref="F21:I21"/>
    <mergeCell ref="B22:D22"/>
    <mergeCell ref="G22:I22"/>
    <mergeCell ref="F39:I39"/>
    <mergeCell ref="F25:I25"/>
    <mergeCell ref="B28:D28"/>
    <mergeCell ref="F37:I37"/>
    <mergeCell ref="B32:D32"/>
    <mergeCell ref="B36:D36"/>
    <mergeCell ref="F33:I33"/>
    <mergeCell ref="B30:D30"/>
    <mergeCell ref="F31:I31"/>
    <mergeCell ref="B34:D3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0"/>
  <sheetViews>
    <sheetView showZeros="0" zoomScale="85" zoomScaleNormal="85" workbookViewId="0" topLeftCell="A1">
      <selection activeCell="A1" sqref="A1:B1"/>
    </sheetView>
  </sheetViews>
  <sheetFormatPr defaultColWidth="9.00390625" defaultRowHeight="13.5"/>
  <cols>
    <col min="1" max="12" width="10.625" style="16" customWidth="1"/>
    <col min="13" max="16384" width="8.50390625" style="16" customWidth="1"/>
  </cols>
  <sheetData>
    <row r="1" spans="1:2" ht="19.5" customHeight="1">
      <c r="A1" s="562" t="s">
        <v>149</v>
      </c>
      <c r="B1" s="562"/>
    </row>
    <row r="2" spans="1:11" ht="34.5" customHeight="1">
      <c r="A2" s="508"/>
      <c r="B2" s="419" t="s">
        <v>150</v>
      </c>
      <c r="C2" s="419"/>
      <c r="D2" s="419"/>
      <c r="E2" s="419"/>
      <c r="F2" s="419"/>
      <c r="G2" s="419"/>
      <c r="H2" s="419"/>
      <c r="I2" s="419"/>
      <c r="J2" s="501"/>
      <c r="K2" s="563" t="s">
        <v>138</v>
      </c>
    </row>
    <row r="3" spans="1:11" ht="34.5" customHeight="1" thickBot="1">
      <c r="A3" s="509"/>
      <c r="B3" s="120" t="s">
        <v>287</v>
      </c>
      <c r="C3" s="55" t="s">
        <v>521</v>
      </c>
      <c r="D3" s="55" t="s">
        <v>37</v>
      </c>
      <c r="E3" s="56" t="s">
        <v>288</v>
      </c>
      <c r="F3" s="57" t="s">
        <v>289</v>
      </c>
      <c r="G3" s="94" t="s">
        <v>429</v>
      </c>
      <c r="H3" s="57" t="s">
        <v>207</v>
      </c>
      <c r="I3" s="55" t="s">
        <v>203</v>
      </c>
      <c r="J3" s="58" t="s">
        <v>284</v>
      </c>
      <c r="K3" s="564"/>
    </row>
    <row r="4" spans="1:11" ht="34.5" customHeight="1" thickTop="1">
      <c r="A4" s="181" t="s">
        <v>92</v>
      </c>
      <c r="B4" s="182">
        <v>0</v>
      </c>
      <c r="C4" s="183">
        <v>39</v>
      </c>
      <c r="D4" s="183">
        <v>0</v>
      </c>
      <c r="E4" s="184"/>
      <c r="F4" s="185">
        <v>17</v>
      </c>
      <c r="G4" s="183">
        <v>181</v>
      </c>
      <c r="H4" s="184">
        <v>2</v>
      </c>
      <c r="I4" s="183">
        <v>17</v>
      </c>
      <c r="J4" s="186">
        <f>139+2+35</f>
        <v>176</v>
      </c>
      <c r="K4" s="187">
        <f>52+4+408+10+63+11</f>
        <v>548</v>
      </c>
    </row>
    <row r="5" spans="1:11" ht="34.5" customHeight="1">
      <c r="A5" s="129" t="s">
        <v>93</v>
      </c>
      <c r="B5" s="11"/>
      <c r="C5" s="188">
        <v>1205</v>
      </c>
      <c r="D5" s="188"/>
      <c r="E5" s="189"/>
      <c r="F5" s="189">
        <v>780</v>
      </c>
      <c r="G5" s="190">
        <v>41</v>
      </c>
      <c r="H5" s="191"/>
      <c r="I5" s="190">
        <v>1</v>
      </c>
      <c r="J5" s="192"/>
      <c r="K5" s="193">
        <f>219+649+25+69+8+10</f>
        <v>980</v>
      </c>
    </row>
    <row r="6" spans="1:11" ht="34.5" customHeight="1">
      <c r="A6" s="129" t="s">
        <v>95</v>
      </c>
      <c r="B6" s="194"/>
      <c r="C6" s="190"/>
      <c r="D6" s="190"/>
      <c r="E6" s="194"/>
      <c r="F6" s="191">
        <v>2</v>
      </c>
      <c r="G6" s="190"/>
      <c r="H6" s="191"/>
      <c r="I6" s="190"/>
      <c r="J6" s="192"/>
      <c r="K6" s="195">
        <f>1+1</f>
        <v>2</v>
      </c>
    </row>
    <row r="7" spans="1:11" ht="34.5" customHeight="1">
      <c r="A7" s="129" t="s">
        <v>96</v>
      </c>
      <c r="B7" s="194"/>
      <c r="C7" s="190"/>
      <c r="D7" s="190"/>
      <c r="E7" s="194"/>
      <c r="F7" s="191"/>
      <c r="G7" s="190"/>
      <c r="H7" s="191"/>
      <c r="I7" s="190"/>
      <c r="J7" s="192"/>
      <c r="K7" s="195"/>
    </row>
    <row r="8" spans="1:11" ht="34.5" customHeight="1">
      <c r="A8" s="129" t="s">
        <v>209</v>
      </c>
      <c r="B8" s="194"/>
      <c r="C8" s="190"/>
      <c r="D8" s="190"/>
      <c r="E8" s="194"/>
      <c r="F8" s="191">
        <v>3</v>
      </c>
      <c r="G8" s="190">
        <v>13</v>
      </c>
      <c r="H8" s="191"/>
      <c r="I8" s="190">
        <v>2</v>
      </c>
      <c r="J8" s="194"/>
      <c r="K8" s="195"/>
    </row>
    <row r="9" spans="1:11" ht="34.5" customHeight="1">
      <c r="A9" s="129" t="s">
        <v>199</v>
      </c>
      <c r="B9" s="194"/>
      <c r="C9" s="190"/>
      <c r="D9" s="190"/>
      <c r="E9" s="194"/>
      <c r="F9" s="191">
        <v>3</v>
      </c>
      <c r="G9" s="190"/>
      <c r="H9" s="191"/>
      <c r="I9" s="190">
        <v>1</v>
      </c>
      <c r="J9" s="192"/>
      <c r="K9" s="195">
        <f>1</f>
        <v>1</v>
      </c>
    </row>
    <row r="10" spans="1:11" ht="34.5" customHeight="1">
      <c r="A10" s="129" t="s">
        <v>210</v>
      </c>
      <c r="B10" s="194"/>
      <c r="C10" s="190">
        <v>6</v>
      </c>
      <c r="D10" s="190"/>
      <c r="E10" s="194"/>
      <c r="F10" s="191">
        <v>2</v>
      </c>
      <c r="G10" s="190"/>
      <c r="H10" s="191"/>
      <c r="I10" s="190"/>
      <c r="J10" s="194"/>
      <c r="K10" s="195"/>
    </row>
    <row r="11" spans="1:11" ht="34.5" customHeight="1">
      <c r="A11" s="129" t="s">
        <v>200</v>
      </c>
      <c r="B11" s="194"/>
      <c r="C11" s="190"/>
      <c r="D11" s="190"/>
      <c r="E11" s="194"/>
      <c r="F11" s="191">
        <v>2</v>
      </c>
      <c r="G11" s="190"/>
      <c r="H11" s="191"/>
      <c r="I11" s="190"/>
      <c r="J11" s="192"/>
      <c r="K11" s="195"/>
    </row>
    <row r="12" spans="1:11" ht="34.5" customHeight="1" thickBot="1">
      <c r="A12" s="130" t="s">
        <v>312</v>
      </c>
      <c r="B12" s="194"/>
      <c r="C12" s="190">
        <v>2</v>
      </c>
      <c r="D12" s="190">
        <v>0</v>
      </c>
      <c r="E12" s="194"/>
      <c r="F12" s="191">
        <v>3</v>
      </c>
      <c r="G12" s="190">
        <v>1</v>
      </c>
      <c r="H12" s="191"/>
      <c r="I12" s="190"/>
      <c r="J12" s="192"/>
      <c r="K12" s="195">
        <f>3</f>
        <v>3</v>
      </c>
    </row>
    <row r="13" spans="1:11" ht="34.5" customHeight="1" thickTop="1">
      <c r="A13" s="196" t="s">
        <v>99</v>
      </c>
      <c r="B13" s="197">
        <f aca="true" t="shared" si="0" ref="B13:J13">SUM(B4:B12)</f>
        <v>0</v>
      </c>
      <c r="C13" s="198">
        <f t="shared" si="0"/>
        <v>1252</v>
      </c>
      <c r="D13" s="183">
        <f t="shared" si="0"/>
        <v>0</v>
      </c>
      <c r="E13" s="183">
        <f t="shared" si="0"/>
        <v>0</v>
      </c>
      <c r="F13" s="183">
        <f t="shared" si="0"/>
        <v>812</v>
      </c>
      <c r="G13" s="183">
        <f t="shared" si="0"/>
        <v>236</v>
      </c>
      <c r="H13" s="183">
        <f t="shared" si="0"/>
        <v>2</v>
      </c>
      <c r="I13" s="183">
        <f t="shared" si="0"/>
        <v>21</v>
      </c>
      <c r="J13" s="184">
        <f t="shared" si="0"/>
        <v>176</v>
      </c>
      <c r="K13" s="199">
        <f>SUM(K4:K12)</f>
        <v>1534</v>
      </c>
    </row>
    <row r="14" ht="9.75" customHeight="1"/>
    <row r="15" ht="9.75" customHeight="1"/>
    <row r="16" spans="1:11" ht="34.5" customHeight="1">
      <c r="A16" s="567"/>
      <c r="B16" s="419" t="s">
        <v>151</v>
      </c>
      <c r="C16" s="419"/>
      <c r="D16" s="419"/>
      <c r="E16" s="419"/>
      <c r="F16" s="419"/>
      <c r="G16" s="419"/>
      <c r="H16" s="419"/>
      <c r="I16" s="419"/>
      <c r="J16" s="501"/>
      <c r="K16" s="563" t="s">
        <v>99</v>
      </c>
    </row>
    <row r="17" spans="1:11" ht="34.5" customHeight="1" thickBot="1">
      <c r="A17" s="568"/>
      <c r="B17" s="120" t="s">
        <v>290</v>
      </c>
      <c r="C17" s="55" t="s">
        <v>38</v>
      </c>
      <c r="D17" s="55" t="s">
        <v>291</v>
      </c>
      <c r="E17" s="56" t="s">
        <v>292</v>
      </c>
      <c r="F17" s="57" t="s">
        <v>293</v>
      </c>
      <c r="G17" s="94" t="s">
        <v>429</v>
      </c>
      <c r="H17" s="57" t="s">
        <v>207</v>
      </c>
      <c r="I17" s="55" t="s">
        <v>203</v>
      </c>
      <c r="J17" s="59" t="s">
        <v>284</v>
      </c>
      <c r="K17" s="564"/>
    </row>
    <row r="18" spans="1:11" ht="34.5" customHeight="1" thickTop="1">
      <c r="A18" s="181" t="s">
        <v>92</v>
      </c>
      <c r="B18" s="182">
        <v>2079</v>
      </c>
      <c r="C18" s="183">
        <v>1809</v>
      </c>
      <c r="D18" s="183">
        <v>94</v>
      </c>
      <c r="E18" s="183"/>
      <c r="F18" s="200">
        <v>53</v>
      </c>
      <c r="G18" s="182">
        <v>2829</v>
      </c>
      <c r="H18" s="185">
        <v>137</v>
      </c>
      <c r="I18" s="188">
        <f>674-177</f>
        <v>497</v>
      </c>
      <c r="J18" s="189">
        <f>3807+188+350+5</f>
        <v>4350</v>
      </c>
      <c r="K18" s="199">
        <f>SUM(B18:J18)</f>
        <v>11848</v>
      </c>
    </row>
    <row r="19" spans="1:11" ht="34.5" customHeight="1">
      <c r="A19" s="129" t="s">
        <v>93</v>
      </c>
      <c r="B19" s="11">
        <v>17</v>
      </c>
      <c r="C19" s="188">
        <v>25934</v>
      </c>
      <c r="D19" s="188">
        <v>10768</v>
      </c>
      <c r="E19" s="188">
        <v>704</v>
      </c>
      <c r="F19" s="188">
        <f>7139+1</f>
        <v>7140</v>
      </c>
      <c r="G19" s="11">
        <v>621</v>
      </c>
      <c r="H19" s="189">
        <v>24</v>
      </c>
      <c r="I19" s="190">
        <f>212-149</f>
        <v>63</v>
      </c>
      <c r="J19" s="191"/>
      <c r="K19" s="195">
        <f>SUM(B19:J19)</f>
        <v>45271</v>
      </c>
    </row>
    <row r="20" spans="1:11" ht="34.5" customHeight="1">
      <c r="A20" s="129" t="s">
        <v>95</v>
      </c>
      <c r="B20" s="194"/>
      <c r="C20" s="190">
        <v>178</v>
      </c>
      <c r="D20" s="190">
        <v>125</v>
      </c>
      <c r="E20" s="190"/>
      <c r="F20" s="190">
        <v>18</v>
      </c>
      <c r="G20" s="194">
        <v>9</v>
      </c>
      <c r="H20" s="191">
        <v>1</v>
      </c>
      <c r="I20" s="191">
        <f>31-20</f>
        <v>11</v>
      </c>
      <c r="J20" s="191"/>
      <c r="K20" s="195">
        <f aca="true" t="shared" si="1" ref="K20:K26">SUM(B20:J20)</f>
        <v>342</v>
      </c>
    </row>
    <row r="21" spans="1:11" ht="34.5" customHeight="1">
      <c r="A21" s="129" t="s">
        <v>96</v>
      </c>
      <c r="B21" s="194"/>
      <c r="C21" s="190"/>
      <c r="D21" s="190"/>
      <c r="E21" s="190"/>
      <c r="F21" s="190"/>
      <c r="G21" s="194"/>
      <c r="H21" s="191"/>
      <c r="I21" s="191">
        <f>22-20</f>
        <v>2</v>
      </c>
      <c r="J21" s="191"/>
      <c r="K21" s="195">
        <f t="shared" si="1"/>
        <v>2</v>
      </c>
    </row>
    <row r="22" spans="1:11" ht="34.5" customHeight="1">
      <c r="A22" s="129" t="s">
        <v>209</v>
      </c>
      <c r="B22" s="194"/>
      <c r="C22" s="190">
        <v>86</v>
      </c>
      <c r="D22" s="190">
        <v>276</v>
      </c>
      <c r="E22" s="194"/>
      <c r="F22" s="191">
        <v>12</v>
      </c>
      <c r="G22" s="190">
        <v>13</v>
      </c>
      <c r="H22" s="191"/>
      <c r="I22" s="190">
        <f>17-11</f>
        <v>6</v>
      </c>
      <c r="J22" s="194"/>
      <c r="K22" s="195">
        <f t="shared" si="1"/>
        <v>393</v>
      </c>
    </row>
    <row r="23" spans="1:11" ht="34.5" customHeight="1">
      <c r="A23" s="129" t="s">
        <v>199</v>
      </c>
      <c r="B23" s="194"/>
      <c r="C23" s="190">
        <v>496</v>
      </c>
      <c r="D23" s="190">
        <v>424</v>
      </c>
      <c r="E23" s="190"/>
      <c r="F23" s="190">
        <v>54</v>
      </c>
      <c r="G23" s="194">
        <v>3</v>
      </c>
      <c r="H23" s="191"/>
      <c r="I23" s="191">
        <f>11-6</f>
        <v>5</v>
      </c>
      <c r="J23" s="191"/>
      <c r="K23" s="195">
        <f t="shared" si="1"/>
        <v>982</v>
      </c>
    </row>
    <row r="24" spans="1:11" ht="34.5" customHeight="1">
      <c r="A24" s="201" t="s">
        <v>210</v>
      </c>
      <c r="B24" s="11"/>
      <c r="C24" s="188">
        <v>86</v>
      </c>
      <c r="D24" s="188">
        <v>204</v>
      </c>
      <c r="E24" s="11"/>
      <c r="F24" s="189">
        <v>2</v>
      </c>
      <c r="G24" s="188"/>
      <c r="H24" s="189"/>
      <c r="I24" s="190">
        <f>16-15</f>
        <v>1</v>
      </c>
      <c r="J24" s="11"/>
      <c r="K24" s="195">
        <f t="shared" si="1"/>
        <v>293</v>
      </c>
    </row>
    <row r="25" spans="1:11" ht="34.5" customHeight="1">
      <c r="A25" s="129" t="s">
        <v>200</v>
      </c>
      <c r="B25" s="194">
        <v>3</v>
      </c>
      <c r="C25" s="190">
        <v>322</v>
      </c>
      <c r="D25" s="190">
        <v>181</v>
      </c>
      <c r="E25" s="190"/>
      <c r="F25" s="190">
        <v>92</v>
      </c>
      <c r="G25" s="194">
        <v>141</v>
      </c>
      <c r="H25" s="190"/>
      <c r="I25" s="188">
        <f>22-20</f>
        <v>2</v>
      </c>
      <c r="J25" s="202"/>
      <c r="K25" s="195">
        <f>SUM(B25:J25)</f>
        <v>741</v>
      </c>
    </row>
    <row r="26" spans="1:11" ht="34.5" customHeight="1" thickBot="1">
      <c r="A26" s="129" t="s">
        <v>312</v>
      </c>
      <c r="B26" s="194"/>
      <c r="C26" s="190">
        <v>742</v>
      </c>
      <c r="D26" s="190">
        <v>770</v>
      </c>
      <c r="E26" s="190"/>
      <c r="F26" s="190">
        <v>361</v>
      </c>
      <c r="G26" s="194">
        <v>415</v>
      </c>
      <c r="H26" s="190"/>
      <c r="I26" s="202">
        <f>59-35</f>
        <v>24</v>
      </c>
      <c r="J26" s="202"/>
      <c r="K26" s="195">
        <f t="shared" si="1"/>
        <v>2312</v>
      </c>
    </row>
    <row r="27" spans="1:11" ht="34.5" customHeight="1" thickTop="1">
      <c r="A27" s="196" t="s">
        <v>99</v>
      </c>
      <c r="B27" s="197">
        <f aca="true" t="shared" si="2" ref="B27:J27">SUM(B18:B26)</f>
        <v>2099</v>
      </c>
      <c r="C27" s="183">
        <f t="shared" si="2"/>
        <v>29653</v>
      </c>
      <c r="D27" s="183">
        <f t="shared" si="2"/>
        <v>12842</v>
      </c>
      <c r="E27" s="183">
        <f t="shared" si="2"/>
        <v>704</v>
      </c>
      <c r="F27" s="183">
        <f t="shared" si="2"/>
        <v>7732</v>
      </c>
      <c r="G27" s="183">
        <f t="shared" si="2"/>
        <v>4031</v>
      </c>
      <c r="H27" s="183">
        <f t="shared" si="2"/>
        <v>162</v>
      </c>
      <c r="I27" s="183">
        <f t="shared" si="2"/>
        <v>611</v>
      </c>
      <c r="J27" s="183">
        <f t="shared" si="2"/>
        <v>4350</v>
      </c>
      <c r="K27" s="199">
        <f>SUM(B27:J27)</f>
        <v>62184</v>
      </c>
    </row>
    <row r="28" spans="1:7" ht="19.5" customHeight="1">
      <c r="A28" s="566"/>
      <c r="B28" s="566"/>
      <c r="C28" s="566"/>
      <c r="D28" s="60"/>
      <c r="E28" s="565"/>
      <c r="F28" s="565"/>
      <c r="G28" s="44" t="s">
        <v>294</v>
      </c>
    </row>
    <row r="29" ht="13.5">
      <c r="A29" s="16" t="s">
        <v>39</v>
      </c>
    </row>
    <row r="30" spans="2:3" ht="13.5">
      <c r="B30" s="16" t="s">
        <v>92</v>
      </c>
      <c r="C30" s="60">
        <v>1249</v>
      </c>
    </row>
  </sheetData>
  <mergeCells count="9">
    <mergeCell ref="A1:B1"/>
    <mergeCell ref="A2:A3"/>
    <mergeCell ref="K2:K3"/>
    <mergeCell ref="E28:F28"/>
    <mergeCell ref="A28:C28"/>
    <mergeCell ref="K16:K17"/>
    <mergeCell ref="B2:J2"/>
    <mergeCell ref="B16:J16"/>
    <mergeCell ref="A16:A17"/>
  </mergeCells>
  <printOptions/>
  <pageMargins left="0.5905511811023623" right="0.5905511811023623" top="0.5905511811023623" bottom="0.5905511811023623" header="0.5118110236220472" footer="0.5118110236220472"/>
  <pageSetup horizontalDpi="600" verticalDpi="600" orientation="portrait" paperSize="9" scale="78"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G68"/>
  <sheetViews>
    <sheetView workbookViewId="0" topLeftCell="A1">
      <selection activeCell="A1" sqref="A1:C1"/>
    </sheetView>
  </sheetViews>
  <sheetFormatPr defaultColWidth="9.00390625" defaultRowHeight="13.5"/>
  <cols>
    <col min="1" max="1" width="9.00390625" style="10" customWidth="1"/>
    <col min="2" max="4" width="12.625" style="10" customWidth="1"/>
    <col min="5" max="5" width="8.625" style="10" customWidth="1"/>
    <col min="6" max="6" width="17.625" style="10" customWidth="1"/>
    <col min="7" max="16384" width="9.00390625" style="10" customWidth="1"/>
  </cols>
  <sheetData>
    <row r="1" spans="1:3" ht="16.5" customHeight="1">
      <c r="A1" s="468" t="s">
        <v>430</v>
      </c>
      <c r="B1" s="468"/>
      <c r="C1" s="468"/>
    </row>
    <row r="2" spans="1:6" ht="16.5" customHeight="1">
      <c r="A2" s="468" t="s">
        <v>230</v>
      </c>
      <c r="B2" s="468"/>
      <c r="C2" s="468"/>
      <c r="E2" s="69" t="s">
        <v>164</v>
      </c>
      <c r="F2" s="69" t="s">
        <v>165</v>
      </c>
    </row>
    <row r="3" spans="2:6" ht="15" customHeight="1">
      <c r="B3" s="574" t="s">
        <v>440</v>
      </c>
      <c r="C3" s="574"/>
      <c r="D3" s="574"/>
      <c r="E3" s="151">
        <v>63</v>
      </c>
      <c r="F3" s="152">
        <v>964</v>
      </c>
    </row>
    <row r="4" spans="2:6" ht="15" customHeight="1">
      <c r="B4" s="574" t="s">
        <v>341</v>
      </c>
      <c r="C4" s="574"/>
      <c r="D4" s="574"/>
      <c r="E4" s="151">
        <v>4</v>
      </c>
      <c r="F4" s="152">
        <v>66</v>
      </c>
    </row>
    <row r="5" spans="2:6" ht="15" customHeight="1">
      <c r="B5" s="574" t="s">
        <v>318</v>
      </c>
      <c r="C5" s="574"/>
      <c r="D5" s="574"/>
      <c r="E5" s="151">
        <v>2</v>
      </c>
      <c r="F5" s="152">
        <v>31</v>
      </c>
    </row>
    <row r="6" spans="2:7" ht="15" customHeight="1">
      <c r="B6" s="574" t="s">
        <v>219</v>
      </c>
      <c r="C6" s="574"/>
      <c r="D6" s="574"/>
      <c r="E6" s="151">
        <v>1</v>
      </c>
      <c r="F6" s="152">
        <v>25</v>
      </c>
      <c r="G6" s="10" t="s">
        <v>221</v>
      </c>
    </row>
    <row r="7" spans="2:6" ht="15" customHeight="1">
      <c r="B7" s="574" t="s">
        <v>226</v>
      </c>
      <c r="C7" s="575"/>
      <c r="D7" s="575"/>
      <c r="E7" s="151">
        <v>14</v>
      </c>
      <c r="F7" s="152">
        <v>835</v>
      </c>
    </row>
    <row r="8" spans="2:6" ht="27.75" customHeight="1">
      <c r="B8" s="569" t="s">
        <v>464</v>
      </c>
      <c r="C8" s="572"/>
      <c r="D8" s="573"/>
      <c r="E8" s="151">
        <v>1</v>
      </c>
      <c r="F8" s="176">
        <v>18</v>
      </c>
    </row>
    <row r="9" spans="2:6" ht="15" customHeight="1">
      <c r="B9" s="574" t="s">
        <v>34</v>
      </c>
      <c r="C9" s="574"/>
      <c r="D9" s="574"/>
      <c r="E9" s="151">
        <v>1</v>
      </c>
      <c r="F9" s="152">
        <v>14</v>
      </c>
    </row>
    <row r="10" spans="2:6" ht="15" customHeight="1">
      <c r="B10" s="574" t="s">
        <v>441</v>
      </c>
      <c r="C10" s="574"/>
      <c r="D10" s="574"/>
      <c r="E10" s="151">
        <v>10</v>
      </c>
      <c r="F10" s="152">
        <v>158</v>
      </c>
    </row>
    <row r="11" spans="2:6" ht="15" customHeight="1">
      <c r="B11" s="574" t="s">
        <v>317</v>
      </c>
      <c r="C11" s="575"/>
      <c r="D11" s="575"/>
      <c r="E11" s="151">
        <v>1</v>
      </c>
      <c r="F11" s="152">
        <v>10</v>
      </c>
    </row>
    <row r="12" spans="2:6" ht="15" customHeight="1">
      <c r="B12" s="569" t="s">
        <v>442</v>
      </c>
      <c r="C12" s="572"/>
      <c r="D12" s="573"/>
      <c r="E12" s="151">
        <v>1</v>
      </c>
      <c r="F12" s="152">
        <v>15</v>
      </c>
    </row>
    <row r="13" spans="2:6" ht="15" customHeight="1">
      <c r="B13" s="574" t="s">
        <v>443</v>
      </c>
      <c r="C13" s="574"/>
      <c r="D13" s="574"/>
      <c r="E13" s="151">
        <v>10</v>
      </c>
      <c r="F13" s="152">
        <v>165</v>
      </c>
    </row>
    <row r="14" spans="2:6" ht="15" customHeight="1">
      <c r="B14" s="569" t="s">
        <v>444</v>
      </c>
      <c r="C14" s="572"/>
      <c r="D14" s="573"/>
      <c r="E14" s="151">
        <v>1</v>
      </c>
      <c r="F14" s="152">
        <v>23</v>
      </c>
    </row>
    <row r="15" spans="2:6" ht="15" customHeight="1">
      <c r="B15" s="574" t="s">
        <v>316</v>
      </c>
      <c r="C15" s="575"/>
      <c r="D15" s="575"/>
      <c r="E15" s="151">
        <v>1</v>
      </c>
      <c r="F15" s="152">
        <v>10</v>
      </c>
    </row>
    <row r="16" spans="2:6" ht="15" customHeight="1">
      <c r="B16" s="574" t="s">
        <v>241</v>
      </c>
      <c r="C16" s="574"/>
      <c r="D16" s="574"/>
      <c r="E16" s="151">
        <v>1</v>
      </c>
      <c r="F16" s="176">
        <v>30</v>
      </c>
    </row>
    <row r="17" spans="2:6" ht="15" customHeight="1">
      <c r="B17" s="574" t="s">
        <v>445</v>
      </c>
      <c r="C17" s="574"/>
      <c r="D17" s="574"/>
      <c r="E17" s="151">
        <v>1</v>
      </c>
      <c r="F17" s="152">
        <v>23</v>
      </c>
    </row>
    <row r="18" spans="2:6" ht="15" customHeight="1">
      <c r="B18" s="574" t="s">
        <v>242</v>
      </c>
      <c r="C18" s="574"/>
      <c r="D18" s="574"/>
      <c r="E18" s="151">
        <v>1</v>
      </c>
      <c r="F18" s="152">
        <v>24</v>
      </c>
    </row>
    <row r="19" spans="2:6" ht="15" customHeight="1">
      <c r="B19" s="574" t="s">
        <v>167</v>
      </c>
      <c r="C19" s="574"/>
      <c r="D19" s="574"/>
      <c r="E19" s="151">
        <v>1</v>
      </c>
      <c r="F19" s="152">
        <v>49</v>
      </c>
    </row>
    <row r="20" spans="2:6" ht="15" customHeight="1">
      <c r="B20" s="569" t="s">
        <v>342</v>
      </c>
      <c r="C20" s="570"/>
      <c r="D20" s="571"/>
      <c r="E20" s="151">
        <v>1</v>
      </c>
      <c r="F20" s="152">
        <v>41</v>
      </c>
    </row>
    <row r="21" spans="2:6" ht="15" customHeight="1">
      <c r="B21" s="574" t="s">
        <v>225</v>
      </c>
      <c r="C21" s="574"/>
      <c r="D21" s="574"/>
      <c r="E21" s="151">
        <v>10</v>
      </c>
      <c r="F21" s="176">
        <v>268</v>
      </c>
    </row>
    <row r="22" spans="2:6" ht="15" customHeight="1">
      <c r="B22" s="574" t="s">
        <v>446</v>
      </c>
      <c r="C22" s="574"/>
      <c r="D22" s="574"/>
      <c r="E22" s="151">
        <v>1</v>
      </c>
      <c r="F22" s="176">
        <v>28</v>
      </c>
    </row>
    <row r="23" spans="2:6" ht="15" customHeight="1">
      <c r="B23" s="574" t="s">
        <v>447</v>
      </c>
      <c r="C23" s="574"/>
      <c r="D23" s="574"/>
      <c r="E23" s="151">
        <v>1</v>
      </c>
      <c r="F23" s="176">
        <v>30</v>
      </c>
    </row>
    <row r="24" spans="2:6" ht="15" customHeight="1">
      <c r="B24" s="574" t="s">
        <v>35</v>
      </c>
      <c r="C24" s="574"/>
      <c r="D24" s="574"/>
      <c r="E24" s="151">
        <v>1</v>
      </c>
      <c r="F24" s="176">
        <v>15</v>
      </c>
    </row>
    <row r="25" spans="2:6" ht="15" customHeight="1">
      <c r="B25" s="574" t="s">
        <v>448</v>
      </c>
      <c r="C25" s="574"/>
      <c r="D25" s="574"/>
      <c r="E25" s="151">
        <v>1</v>
      </c>
      <c r="F25" s="152">
        <v>27</v>
      </c>
    </row>
    <row r="26" spans="2:6" ht="15" customHeight="1">
      <c r="B26" s="569" t="s">
        <v>449</v>
      </c>
      <c r="C26" s="572"/>
      <c r="D26" s="573"/>
      <c r="E26" s="151">
        <v>1</v>
      </c>
      <c r="F26" s="176">
        <v>12</v>
      </c>
    </row>
    <row r="27" spans="2:6" ht="15" customHeight="1">
      <c r="B27" s="574" t="s">
        <v>158</v>
      </c>
      <c r="C27" s="574"/>
      <c r="D27" s="574"/>
      <c r="E27" s="151">
        <v>4</v>
      </c>
      <c r="F27" s="152">
        <v>249</v>
      </c>
    </row>
    <row r="28" spans="2:6" ht="15" customHeight="1">
      <c r="B28" s="574" t="s">
        <v>450</v>
      </c>
      <c r="C28" s="574"/>
      <c r="D28" s="574"/>
      <c r="E28" s="151">
        <v>1</v>
      </c>
      <c r="F28" s="152">
        <v>81</v>
      </c>
    </row>
    <row r="29" spans="2:6" ht="15" customHeight="1">
      <c r="B29" s="574" t="s">
        <v>451</v>
      </c>
      <c r="C29" s="574"/>
      <c r="D29" s="574"/>
      <c r="E29" s="151">
        <v>1</v>
      </c>
      <c r="F29" s="152">
        <v>36</v>
      </c>
    </row>
    <row r="30" spans="2:6" ht="15" customHeight="1">
      <c r="B30" s="574" t="s">
        <v>192</v>
      </c>
      <c r="C30" s="574"/>
      <c r="D30" s="574"/>
      <c r="E30" s="151">
        <v>2</v>
      </c>
      <c r="F30" s="152">
        <v>47</v>
      </c>
    </row>
    <row r="31" spans="2:6" ht="27.75" customHeight="1">
      <c r="B31" s="569" t="s">
        <v>465</v>
      </c>
      <c r="C31" s="570"/>
      <c r="D31" s="571"/>
      <c r="E31" s="177" t="s">
        <v>452</v>
      </c>
      <c r="F31" s="176" t="s">
        <v>524</v>
      </c>
    </row>
    <row r="32" spans="2:6" ht="63">
      <c r="B32" s="574" t="s">
        <v>529</v>
      </c>
      <c r="C32" s="574"/>
      <c r="D32" s="574"/>
      <c r="E32" s="178">
        <v>1</v>
      </c>
      <c r="F32" s="179" t="s">
        <v>530</v>
      </c>
    </row>
    <row r="33" spans="2:6" ht="15" customHeight="1">
      <c r="B33" s="569" t="s">
        <v>36</v>
      </c>
      <c r="C33" s="570"/>
      <c r="D33" s="571"/>
      <c r="E33" s="178">
        <v>3</v>
      </c>
      <c r="F33" s="180">
        <v>44</v>
      </c>
    </row>
    <row r="34" spans="2:6" ht="27" customHeight="1">
      <c r="B34" s="569" t="s">
        <v>453</v>
      </c>
      <c r="C34" s="570"/>
      <c r="D34" s="571"/>
      <c r="E34" s="178">
        <v>1</v>
      </c>
      <c r="F34" s="180">
        <v>15</v>
      </c>
    </row>
    <row r="35" spans="2:6" ht="27" customHeight="1">
      <c r="B35" s="569" t="s">
        <v>454</v>
      </c>
      <c r="C35" s="570"/>
      <c r="D35" s="571"/>
      <c r="E35" s="178">
        <v>1</v>
      </c>
      <c r="F35" s="180">
        <v>8</v>
      </c>
    </row>
    <row r="36" spans="2:6" ht="27" customHeight="1">
      <c r="B36" s="569" t="s">
        <v>455</v>
      </c>
      <c r="C36" s="570"/>
      <c r="D36" s="571"/>
      <c r="E36" s="178">
        <v>1</v>
      </c>
      <c r="F36" s="180">
        <v>22</v>
      </c>
    </row>
    <row r="37" spans="2:6" ht="15" customHeight="1">
      <c r="B37" s="569" t="s">
        <v>456</v>
      </c>
      <c r="C37" s="570"/>
      <c r="D37" s="571"/>
      <c r="E37" s="178">
        <v>1</v>
      </c>
      <c r="F37" s="180">
        <v>62</v>
      </c>
    </row>
    <row r="38" spans="2:6" ht="15" customHeight="1">
      <c r="B38" s="569" t="s">
        <v>457</v>
      </c>
      <c r="C38" s="570"/>
      <c r="D38" s="571"/>
      <c r="E38" s="178">
        <v>1</v>
      </c>
      <c r="F38" s="180">
        <v>17</v>
      </c>
    </row>
    <row r="39" spans="2:6" ht="15" customHeight="1">
      <c r="B39" s="569" t="s">
        <v>458</v>
      </c>
      <c r="C39" s="570"/>
      <c r="D39" s="571"/>
      <c r="E39" s="178">
        <v>1</v>
      </c>
      <c r="F39" s="180">
        <v>16</v>
      </c>
    </row>
    <row r="40" spans="2:6" ht="15" customHeight="1">
      <c r="B40" s="569" t="s">
        <v>463</v>
      </c>
      <c r="C40" s="570"/>
      <c r="D40" s="571"/>
      <c r="E40" s="178">
        <v>1</v>
      </c>
      <c r="F40" s="180">
        <v>54</v>
      </c>
    </row>
    <row r="41" spans="2:6" ht="15" customHeight="1">
      <c r="B41" s="569" t="s">
        <v>459</v>
      </c>
      <c r="C41" s="570"/>
      <c r="D41" s="571"/>
      <c r="E41" s="178">
        <v>1</v>
      </c>
      <c r="F41" s="180">
        <v>26</v>
      </c>
    </row>
    <row r="42" spans="2:6" ht="15" customHeight="1">
      <c r="B42" s="569" t="s">
        <v>460</v>
      </c>
      <c r="C42" s="570"/>
      <c r="D42" s="571"/>
      <c r="E42" s="178">
        <v>1</v>
      </c>
      <c r="F42" s="180">
        <v>23</v>
      </c>
    </row>
    <row r="43" spans="2:6" ht="15" customHeight="1">
      <c r="B43" s="569" t="s">
        <v>153</v>
      </c>
      <c r="C43" s="570"/>
      <c r="D43" s="571"/>
      <c r="E43" s="151">
        <v>11</v>
      </c>
      <c r="F43" s="152">
        <v>524</v>
      </c>
    </row>
    <row r="44" spans="2:6" ht="15" customHeight="1">
      <c r="B44" s="569" t="s">
        <v>461</v>
      </c>
      <c r="C44" s="570"/>
      <c r="D44" s="571"/>
      <c r="E44" s="151">
        <v>11</v>
      </c>
      <c r="F44" s="152">
        <v>192</v>
      </c>
    </row>
    <row r="45" spans="2:6" ht="15" customHeight="1">
      <c r="B45" s="569" t="s">
        <v>462</v>
      </c>
      <c r="C45" s="570"/>
      <c r="D45" s="571"/>
      <c r="E45" s="151">
        <v>1</v>
      </c>
      <c r="F45" s="152">
        <v>42</v>
      </c>
    </row>
    <row r="46" spans="2:6" ht="15" customHeight="1">
      <c r="B46" s="569" t="s">
        <v>159</v>
      </c>
      <c r="C46" s="570"/>
      <c r="D46" s="571"/>
      <c r="E46" s="151">
        <v>12</v>
      </c>
      <c r="F46" s="152">
        <v>261</v>
      </c>
    </row>
    <row r="47" spans="2:6" ht="15" customHeight="1">
      <c r="B47" s="569" t="s">
        <v>160</v>
      </c>
      <c r="C47" s="570"/>
      <c r="D47" s="571"/>
      <c r="E47" s="151">
        <v>12</v>
      </c>
      <c r="F47" s="152">
        <v>54</v>
      </c>
    </row>
    <row r="48" spans="2:6" ht="15" customHeight="1">
      <c r="B48" s="569" t="s">
        <v>152</v>
      </c>
      <c r="C48" s="570"/>
      <c r="D48" s="571"/>
      <c r="E48" s="151">
        <v>21</v>
      </c>
      <c r="F48" s="152">
        <v>658</v>
      </c>
    </row>
    <row r="49" spans="2:6" ht="15" customHeight="1">
      <c r="B49" s="574" t="s">
        <v>154</v>
      </c>
      <c r="C49" s="574"/>
      <c r="D49" s="574"/>
      <c r="E49" s="151">
        <v>36</v>
      </c>
      <c r="F49" s="152"/>
    </row>
    <row r="61" spans="5:6" ht="13.5">
      <c r="E61" s="61"/>
      <c r="F61" s="62"/>
    </row>
    <row r="62" ht="16.5" customHeight="1"/>
    <row r="63" spans="2:6" ht="13.5">
      <c r="B63" s="63"/>
      <c r="C63" s="63"/>
      <c r="D63" s="63"/>
      <c r="E63" s="61"/>
      <c r="F63" s="62"/>
    </row>
    <row r="64" spans="1:6" ht="16.5" customHeight="1">
      <c r="A64" s="63"/>
      <c r="E64" s="61"/>
      <c r="F64" s="62"/>
    </row>
    <row r="65" spans="5:6" ht="16.5" customHeight="1">
      <c r="E65" s="61"/>
      <c r="F65" s="62"/>
    </row>
    <row r="66" spans="5:6" ht="16.5" customHeight="1">
      <c r="E66" s="61"/>
      <c r="F66" s="62"/>
    </row>
    <row r="67" spans="5:6" ht="16.5" customHeight="1">
      <c r="E67" s="64"/>
      <c r="F67" s="64"/>
    </row>
    <row r="68" ht="16.5" customHeight="1">
      <c r="E68" s="65"/>
    </row>
    <row r="69" ht="16.5" customHeight="1"/>
  </sheetData>
  <mergeCells count="49">
    <mergeCell ref="B33:D33"/>
    <mergeCell ref="B36:D36"/>
    <mergeCell ref="B39:D39"/>
    <mergeCell ref="B38:D38"/>
    <mergeCell ref="B37:D37"/>
    <mergeCell ref="B48:D48"/>
    <mergeCell ref="B46:D46"/>
    <mergeCell ref="B47:D47"/>
    <mergeCell ref="B21:D21"/>
    <mergeCell ref="B27:D27"/>
    <mergeCell ref="B43:D43"/>
    <mergeCell ref="B30:D30"/>
    <mergeCell ref="B32:D32"/>
    <mergeCell ref="B40:D40"/>
    <mergeCell ref="B42:D42"/>
    <mergeCell ref="B49:D49"/>
    <mergeCell ref="A1:C1"/>
    <mergeCell ref="B3:D3"/>
    <mergeCell ref="A2:C2"/>
    <mergeCell ref="B6:D6"/>
    <mergeCell ref="B5:D5"/>
    <mergeCell ref="B25:D25"/>
    <mergeCell ref="B19:D19"/>
    <mergeCell ref="B10:D10"/>
    <mergeCell ref="B4:D4"/>
    <mergeCell ref="B13:D13"/>
    <mergeCell ref="B23:D23"/>
    <mergeCell ref="B16:D16"/>
    <mergeCell ref="B7:D7"/>
    <mergeCell ref="B11:D11"/>
    <mergeCell ref="B12:D12"/>
    <mergeCell ref="B15:D15"/>
    <mergeCell ref="B22:D22"/>
    <mergeCell ref="B17:D17"/>
    <mergeCell ref="B14:D14"/>
    <mergeCell ref="B26:D26"/>
    <mergeCell ref="B20:D20"/>
    <mergeCell ref="B24:D24"/>
    <mergeCell ref="B18:D18"/>
    <mergeCell ref="B45:D45"/>
    <mergeCell ref="B44:D44"/>
    <mergeCell ref="B8:D8"/>
    <mergeCell ref="B28:D28"/>
    <mergeCell ref="B9:D9"/>
    <mergeCell ref="B29:D29"/>
    <mergeCell ref="B34:D34"/>
    <mergeCell ref="B35:D35"/>
    <mergeCell ref="B41:D41"/>
    <mergeCell ref="B31:D31"/>
  </mergeCells>
  <printOptions/>
  <pageMargins left="0.7874015748031497" right="0.7874015748031497" top="0.3937007874015748" bottom="0.3937007874015748" header="0.5118110236220472" footer="0.5118110236220472"/>
  <pageSetup horizontalDpi="600" verticalDpi="600" orientation="portrait" paperSize="9" scale="98"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48"/>
  <sheetViews>
    <sheetView workbookViewId="0" topLeftCell="A1">
      <selection activeCell="A1" sqref="A1"/>
    </sheetView>
  </sheetViews>
  <sheetFormatPr defaultColWidth="9.00390625" defaultRowHeight="13.5"/>
  <cols>
    <col min="1" max="1" width="9.00390625" style="10" customWidth="1"/>
    <col min="2" max="4" width="12.625" style="10" customWidth="1"/>
    <col min="5" max="5" width="8.625" style="10" customWidth="1"/>
    <col min="6" max="6" width="17.625" style="10" customWidth="1"/>
    <col min="7" max="16384" width="9.00390625" style="10" customWidth="1"/>
  </cols>
  <sheetData>
    <row r="1" spans="2:3" ht="16.5" customHeight="1">
      <c r="B1" s="25"/>
      <c r="C1" s="25"/>
    </row>
    <row r="2" spans="1:6" ht="16.5" customHeight="1">
      <c r="A2" s="25" t="s">
        <v>231</v>
      </c>
      <c r="B2" s="25"/>
      <c r="C2" s="25"/>
      <c r="E2" s="69" t="s">
        <v>164</v>
      </c>
      <c r="F2" s="69" t="s">
        <v>165</v>
      </c>
    </row>
    <row r="3" spans="1:6" ht="15" customHeight="1">
      <c r="A3" s="25"/>
      <c r="B3" s="578" t="s">
        <v>14</v>
      </c>
      <c r="C3" s="578"/>
      <c r="D3" s="578"/>
      <c r="E3" s="151">
        <v>12</v>
      </c>
      <c r="F3" s="152">
        <v>133</v>
      </c>
    </row>
    <row r="4" spans="2:6" ht="15" customHeight="1">
      <c r="B4" s="578" t="s">
        <v>28</v>
      </c>
      <c r="C4" s="578"/>
      <c r="D4" s="578"/>
      <c r="E4" s="151">
        <v>12</v>
      </c>
      <c r="F4" s="152">
        <v>327</v>
      </c>
    </row>
    <row r="5" spans="2:6" ht="15" customHeight="1">
      <c r="B5" s="588" t="s">
        <v>343</v>
      </c>
      <c r="C5" s="589"/>
      <c r="D5" s="590"/>
      <c r="E5" s="151">
        <v>12</v>
      </c>
      <c r="F5" s="152">
        <v>194</v>
      </c>
    </row>
    <row r="6" spans="2:6" ht="15" customHeight="1">
      <c r="B6" s="578" t="s">
        <v>194</v>
      </c>
      <c r="C6" s="578"/>
      <c r="D6" s="578"/>
      <c r="E6" s="151">
        <v>24</v>
      </c>
      <c r="F6" s="152">
        <v>391</v>
      </c>
    </row>
    <row r="7" spans="2:6" ht="15" customHeight="1">
      <c r="B7" s="578" t="s">
        <v>191</v>
      </c>
      <c r="C7" s="577"/>
      <c r="D7" s="577"/>
      <c r="E7" s="151">
        <v>2</v>
      </c>
      <c r="F7" s="152">
        <v>30</v>
      </c>
    </row>
    <row r="8" spans="2:6" ht="15" customHeight="1">
      <c r="B8" s="578" t="s">
        <v>321</v>
      </c>
      <c r="C8" s="577"/>
      <c r="D8" s="577"/>
      <c r="E8" s="151">
        <v>1</v>
      </c>
      <c r="F8" s="152">
        <v>103</v>
      </c>
    </row>
    <row r="9" spans="2:6" ht="15" customHeight="1">
      <c r="B9" s="578" t="s">
        <v>156</v>
      </c>
      <c r="C9" s="578"/>
      <c r="D9" s="578"/>
      <c r="E9" s="151">
        <v>27</v>
      </c>
      <c r="F9" s="152">
        <v>341</v>
      </c>
    </row>
    <row r="10" spans="2:6" ht="15" customHeight="1">
      <c r="B10" s="578" t="s">
        <v>161</v>
      </c>
      <c r="C10" s="578"/>
      <c r="D10" s="578"/>
      <c r="E10" s="151">
        <v>10</v>
      </c>
      <c r="F10" s="152">
        <v>195</v>
      </c>
    </row>
    <row r="11" spans="2:6" ht="15" customHeight="1">
      <c r="B11" s="578" t="s">
        <v>166</v>
      </c>
      <c r="C11" s="578"/>
      <c r="D11" s="578"/>
      <c r="E11" s="151">
        <v>10</v>
      </c>
      <c r="F11" s="152">
        <v>93</v>
      </c>
    </row>
    <row r="12" spans="2:6" ht="15" customHeight="1">
      <c r="B12" s="578" t="s">
        <v>466</v>
      </c>
      <c r="C12" s="578"/>
      <c r="D12" s="578"/>
      <c r="E12" s="151">
        <v>1</v>
      </c>
      <c r="F12" s="152">
        <v>29</v>
      </c>
    </row>
    <row r="13" spans="2:6" ht="15" customHeight="1">
      <c r="B13" s="588" t="s">
        <v>437</v>
      </c>
      <c r="C13" s="589"/>
      <c r="D13" s="590"/>
      <c r="E13" s="151">
        <v>1</v>
      </c>
      <c r="F13" s="152">
        <v>14</v>
      </c>
    </row>
    <row r="14" spans="2:6" ht="15" customHeight="1">
      <c r="B14" s="578" t="s">
        <v>436</v>
      </c>
      <c r="C14" s="578"/>
      <c r="D14" s="578"/>
      <c r="E14" s="151">
        <v>1</v>
      </c>
      <c r="F14" s="152">
        <v>37</v>
      </c>
    </row>
    <row r="15" spans="2:6" ht="15" customHeight="1">
      <c r="B15" s="578" t="s">
        <v>227</v>
      </c>
      <c r="C15" s="578"/>
      <c r="D15" s="578"/>
      <c r="E15" s="151">
        <v>1</v>
      </c>
      <c r="F15" s="152">
        <v>106</v>
      </c>
    </row>
    <row r="16" spans="2:6" ht="15" customHeight="1">
      <c r="B16" s="578" t="s">
        <v>344</v>
      </c>
      <c r="C16" s="578"/>
      <c r="D16" s="578"/>
      <c r="E16" s="151">
        <v>1</v>
      </c>
      <c r="F16" s="152">
        <v>64</v>
      </c>
    </row>
    <row r="17" spans="2:6" ht="15" customHeight="1">
      <c r="B17" s="578" t="s">
        <v>158</v>
      </c>
      <c r="C17" s="578"/>
      <c r="D17" s="578"/>
      <c r="E17" s="151">
        <v>2</v>
      </c>
      <c r="F17" s="152">
        <v>135</v>
      </c>
    </row>
    <row r="18" spans="2:6" ht="15" customHeight="1">
      <c r="B18" s="578" t="s">
        <v>162</v>
      </c>
      <c r="C18" s="578"/>
      <c r="D18" s="578"/>
      <c r="E18" s="151">
        <v>1</v>
      </c>
      <c r="F18" s="152">
        <v>44</v>
      </c>
    </row>
    <row r="19" spans="2:6" ht="15" customHeight="1">
      <c r="B19" s="578" t="s">
        <v>303</v>
      </c>
      <c r="C19" s="578"/>
      <c r="D19" s="578"/>
      <c r="E19" s="151">
        <v>1</v>
      </c>
      <c r="F19" s="152">
        <v>53</v>
      </c>
    </row>
    <row r="20" spans="2:6" ht="15" customHeight="1">
      <c r="B20" s="578" t="s">
        <v>163</v>
      </c>
      <c r="C20" s="578"/>
      <c r="D20" s="578"/>
      <c r="E20" s="151">
        <v>1</v>
      </c>
      <c r="F20" s="152">
        <v>21</v>
      </c>
    </row>
    <row r="21" spans="2:6" ht="15" customHeight="1">
      <c r="B21" s="578" t="s">
        <v>438</v>
      </c>
      <c r="C21" s="578"/>
      <c r="D21" s="578"/>
      <c r="E21" s="151">
        <v>2</v>
      </c>
      <c r="F21" s="152">
        <v>14</v>
      </c>
    </row>
    <row r="22" spans="2:6" ht="15" customHeight="1">
      <c r="B22" s="583" t="s">
        <v>467</v>
      </c>
      <c r="C22" s="581"/>
      <c r="D22" s="582"/>
      <c r="E22" s="151">
        <v>1</v>
      </c>
      <c r="F22" s="152">
        <v>41</v>
      </c>
    </row>
    <row r="23" spans="2:6" ht="15" customHeight="1">
      <c r="B23" s="583" t="s">
        <v>468</v>
      </c>
      <c r="C23" s="581"/>
      <c r="D23" s="582"/>
      <c r="E23" s="151">
        <v>1</v>
      </c>
      <c r="F23" s="152">
        <v>8</v>
      </c>
    </row>
    <row r="24" spans="2:6" ht="15" customHeight="1">
      <c r="B24" s="583" t="s">
        <v>469</v>
      </c>
      <c r="C24" s="581"/>
      <c r="D24" s="582"/>
      <c r="E24" s="151">
        <v>1</v>
      </c>
      <c r="F24" s="152">
        <v>42</v>
      </c>
    </row>
    <row r="25" spans="2:6" ht="15" customHeight="1">
      <c r="B25" s="583" t="s">
        <v>470</v>
      </c>
      <c r="C25" s="581"/>
      <c r="D25" s="582"/>
      <c r="E25" s="151">
        <v>1</v>
      </c>
      <c r="F25" s="152">
        <v>60</v>
      </c>
    </row>
    <row r="26" spans="2:6" ht="15" customHeight="1">
      <c r="B26" s="583" t="s">
        <v>471</v>
      </c>
      <c r="C26" s="581"/>
      <c r="D26" s="582"/>
      <c r="E26" s="151">
        <v>1</v>
      </c>
      <c r="F26" s="152">
        <v>33</v>
      </c>
    </row>
    <row r="27" spans="2:6" ht="15" customHeight="1">
      <c r="B27" s="579" t="s">
        <v>472</v>
      </c>
      <c r="C27" s="581"/>
      <c r="D27" s="582"/>
      <c r="E27" s="151">
        <v>1</v>
      </c>
      <c r="F27" s="152">
        <v>21</v>
      </c>
    </row>
    <row r="28" spans="2:6" ht="15" customHeight="1">
      <c r="B28" s="583" t="s">
        <v>473</v>
      </c>
      <c r="C28" s="581"/>
      <c r="D28" s="582"/>
      <c r="E28" s="151">
        <v>1</v>
      </c>
      <c r="F28" s="152">
        <v>30</v>
      </c>
    </row>
    <row r="29" spans="2:6" ht="27.75" customHeight="1">
      <c r="B29" s="579" t="s">
        <v>29</v>
      </c>
      <c r="C29" s="581"/>
      <c r="D29" s="582"/>
      <c r="E29" s="151">
        <v>1</v>
      </c>
      <c r="F29" s="152">
        <v>37</v>
      </c>
    </row>
    <row r="30" spans="2:6" ht="15" customHeight="1">
      <c r="B30" s="583" t="s">
        <v>474</v>
      </c>
      <c r="C30" s="581"/>
      <c r="D30" s="582"/>
      <c r="E30" s="151">
        <v>1</v>
      </c>
      <c r="F30" s="152">
        <v>65</v>
      </c>
    </row>
    <row r="31" spans="2:6" ht="15" customHeight="1">
      <c r="B31" s="583" t="s">
        <v>475</v>
      </c>
      <c r="C31" s="581"/>
      <c r="D31" s="582"/>
      <c r="E31" s="151">
        <v>1</v>
      </c>
      <c r="F31" s="152">
        <v>12</v>
      </c>
    </row>
    <row r="32" spans="2:6" ht="27.75" customHeight="1">
      <c r="B32" s="579" t="s">
        <v>476</v>
      </c>
      <c r="C32" s="572"/>
      <c r="D32" s="573"/>
      <c r="E32" s="151">
        <v>2</v>
      </c>
      <c r="F32" s="152">
        <v>120</v>
      </c>
    </row>
    <row r="33" spans="2:6" ht="15" customHeight="1">
      <c r="B33" s="578" t="s">
        <v>155</v>
      </c>
      <c r="C33" s="578"/>
      <c r="D33" s="578"/>
      <c r="E33" s="151">
        <v>84</v>
      </c>
      <c r="F33" s="152">
        <v>2310</v>
      </c>
    </row>
    <row r="34" spans="2:6" ht="15" customHeight="1">
      <c r="B34" s="578" t="s">
        <v>153</v>
      </c>
      <c r="C34" s="578"/>
      <c r="D34" s="578"/>
      <c r="E34" s="151">
        <v>12</v>
      </c>
      <c r="F34" s="152">
        <v>295</v>
      </c>
    </row>
    <row r="35" spans="2:6" ht="15" customHeight="1">
      <c r="B35" s="578" t="s">
        <v>319</v>
      </c>
      <c r="C35" s="578"/>
      <c r="D35" s="578"/>
      <c r="E35" s="151">
        <v>23</v>
      </c>
      <c r="F35" s="152">
        <v>369</v>
      </c>
    </row>
    <row r="36" spans="2:6" ht="15" customHeight="1">
      <c r="B36" s="578" t="s">
        <v>320</v>
      </c>
      <c r="C36" s="578"/>
      <c r="D36" s="578"/>
      <c r="E36" s="151">
        <v>12</v>
      </c>
      <c r="F36" s="152">
        <v>118</v>
      </c>
    </row>
    <row r="37" spans="2:6" ht="15" customHeight="1">
      <c r="B37" s="578" t="s">
        <v>154</v>
      </c>
      <c r="C37" s="578"/>
      <c r="D37" s="578"/>
      <c r="E37" s="151">
        <v>183</v>
      </c>
      <c r="F37" s="175"/>
    </row>
    <row r="38" spans="2:4" ht="16.5" customHeight="1">
      <c r="B38" s="25"/>
      <c r="C38" s="25"/>
      <c r="D38" s="25"/>
    </row>
    <row r="39" spans="1:6" ht="16.5" customHeight="1">
      <c r="A39" s="468" t="s">
        <v>331</v>
      </c>
      <c r="B39" s="468"/>
      <c r="C39" s="468"/>
      <c r="D39" s="584"/>
      <c r="E39" s="69" t="s">
        <v>164</v>
      </c>
      <c r="F39" s="69" t="s">
        <v>165</v>
      </c>
    </row>
    <row r="40" spans="2:6" ht="15" customHeight="1">
      <c r="B40" s="580" t="s">
        <v>440</v>
      </c>
      <c r="C40" s="580"/>
      <c r="D40" s="580"/>
      <c r="E40" s="151">
        <v>21</v>
      </c>
      <c r="F40" s="152">
        <v>158</v>
      </c>
    </row>
    <row r="41" spans="2:6" ht="15" customHeight="1">
      <c r="B41" s="580" t="s">
        <v>14</v>
      </c>
      <c r="C41" s="580"/>
      <c r="D41" s="580"/>
      <c r="E41" s="151">
        <v>43</v>
      </c>
      <c r="F41" s="152">
        <v>410</v>
      </c>
    </row>
    <row r="42" spans="2:6" ht="15" customHeight="1">
      <c r="B42" s="580" t="s">
        <v>13</v>
      </c>
      <c r="C42" s="580"/>
      <c r="D42" s="580"/>
      <c r="E42" s="151">
        <v>11</v>
      </c>
      <c r="F42" s="152">
        <v>85</v>
      </c>
    </row>
    <row r="43" spans="2:6" ht="27.75" customHeight="1">
      <c r="B43" s="576" t="s">
        <v>30</v>
      </c>
      <c r="C43" s="580"/>
      <c r="D43" s="580"/>
      <c r="E43" s="151">
        <v>1</v>
      </c>
      <c r="F43" s="152">
        <v>5</v>
      </c>
    </row>
    <row r="44" spans="2:6" ht="27.75" customHeight="1">
      <c r="B44" s="585" t="s">
        <v>31</v>
      </c>
      <c r="C44" s="586"/>
      <c r="D44" s="587"/>
      <c r="E44" s="151">
        <v>1</v>
      </c>
      <c r="F44" s="152">
        <v>18</v>
      </c>
    </row>
    <row r="45" spans="2:6" ht="15" customHeight="1">
      <c r="B45" s="576" t="s">
        <v>32</v>
      </c>
      <c r="C45" s="577"/>
      <c r="D45" s="577"/>
      <c r="E45" s="151">
        <v>1</v>
      </c>
      <c r="F45" s="152">
        <v>5</v>
      </c>
    </row>
    <row r="46" spans="2:6" ht="15" customHeight="1">
      <c r="B46" s="576" t="s">
        <v>33</v>
      </c>
      <c r="C46" s="577"/>
      <c r="D46" s="577"/>
      <c r="E46" s="151">
        <v>1</v>
      </c>
      <c r="F46" s="152">
        <v>9</v>
      </c>
    </row>
    <row r="47" spans="2:6" ht="15" customHeight="1">
      <c r="B47" s="580" t="s">
        <v>322</v>
      </c>
      <c r="C47" s="580"/>
      <c r="D47" s="580"/>
      <c r="E47" s="151">
        <v>12</v>
      </c>
      <c r="F47" s="152">
        <v>44</v>
      </c>
    </row>
    <row r="48" spans="2:4" ht="16.5" customHeight="1">
      <c r="B48" s="66"/>
      <c r="C48" s="66"/>
      <c r="D48" s="66"/>
    </row>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67" ht="15.75" customHeight="1"/>
  </sheetData>
  <mergeCells count="44">
    <mergeCell ref="B23:D23"/>
    <mergeCell ref="B24:D24"/>
    <mergeCell ref="B26:D26"/>
    <mergeCell ref="B27:D27"/>
    <mergeCell ref="B11:D11"/>
    <mergeCell ref="B15:D15"/>
    <mergeCell ref="B20:D20"/>
    <mergeCell ref="B34:D34"/>
    <mergeCell ref="B18:D18"/>
    <mergeCell ref="B14:D14"/>
    <mergeCell ref="B19:D19"/>
    <mergeCell ref="B33:D33"/>
    <mergeCell ref="B28:D28"/>
    <mergeCell ref="B22:D22"/>
    <mergeCell ref="B3:D3"/>
    <mergeCell ref="B16:D16"/>
    <mergeCell ref="B9:D9"/>
    <mergeCell ref="B6:D6"/>
    <mergeCell ref="B10:D10"/>
    <mergeCell ref="B7:D7"/>
    <mergeCell ref="B8:D8"/>
    <mergeCell ref="B4:D4"/>
    <mergeCell ref="B5:D5"/>
    <mergeCell ref="B13:D13"/>
    <mergeCell ref="B47:D47"/>
    <mergeCell ref="B35:D35"/>
    <mergeCell ref="B17:D17"/>
    <mergeCell ref="B29:D29"/>
    <mergeCell ref="B30:D30"/>
    <mergeCell ref="B31:D31"/>
    <mergeCell ref="B21:D21"/>
    <mergeCell ref="B25:D25"/>
    <mergeCell ref="A39:D39"/>
    <mergeCell ref="B44:D44"/>
    <mergeCell ref="B46:D46"/>
    <mergeCell ref="B12:D12"/>
    <mergeCell ref="B32:D32"/>
    <mergeCell ref="B45:D45"/>
    <mergeCell ref="B41:D41"/>
    <mergeCell ref="B42:D42"/>
    <mergeCell ref="B43:D43"/>
    <mergeCell ref="B40:D40"/>
    <mergeCell ref="B37:D37"/>
    <mergeCell ref="B36:D36"/>
  </mergeCells>
  <printOptions/>
  <pageMargins left="0.7874015748031497" right="0.7874015748031497" top="0.5905511811023623" bottom="0.5905511811023623" header="0.5118110236220472" footer="0.5118110236220472"/>
  <pageSetup fitToHeight="1" fitToWidth="1" horizontalDpi="600" verticalDpi="600" orientation="portrait" paperSize="9"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AD45"/>
  <sheetViews>
    <sheetView zoomScaleSheetLayoutView="100" workbookViewId="0" topLeftCell="A1">
      <selection activeCell="A1" sqref="A1"/>
    </sheetView>
  </sheetViews>
  <sheetFormatPr defaultColWidth="9.00390625" defaultRowHeight="13.5"/>
  <cols>
    <col min="1" max="1" width="9.00390625" style="10" customWidth="1"/>
    <col min="2" max="4" width="12.625" style="10" customWidth="1"/>
    <col min="5" max="5" width="8.625" style="10" customWidth="1"/>
    <col min="6" max="6" width="17.625" style="10" customWidth="1"/>
    <col min="7" max="16384" width="9.00390625" style="10" customWidth="1"/>
  </cols>
  <sheetData>
    <row r="1" ht="16.5" customHeight="1"/>
    <row r="2" spans="1:6" ht="16.5" customHeight="1">
      <c r="A2" s="468" t="s">
        <v>332</v>
      </c>
      <c r="B2" s="468"/>
      <c r="C2" s="468"/>
      <c r="E2" s="69" t="s">
        <v>164</v>
      </c>
      <c r="F2" s="69" t="s">
        <v>165</v>
      </c>
    </row>
    <row r="3" spans="1:6" ht="15" customHeight="1">
      <c r="A3" s="25"/>
      <c r="B3" s="607" t="s">
        <v>156</v>
      </c>
      <c r="C3" s="607"/>
      <c r="D3" s="607"/>
      <c r="E3" s="164">
        <v>10</v>
      </c>
      <c r="F3" s="165">
        <v>76</v>
      </c>
    </row>
    <row r="4" spans="1:6" ht="15" customHeight="1">
      <c r="A4" s="25"/>
      <c r="B4" s="607" t="s">
        <v>167</v>
      </c>
      <c r="C4" s="607"/>
      <c r="D4" s="607"/>
      <c r="E4" s="164">
        <v>1</v>
      </c>
      <c r="F4" s="165">
        <v>45</v>
      </c>
    </row>
    <row r="5" spans="1:4" ht="16.5" customHeight="1">
      <c r="A5" s="25"/>
      <c r="B5" s="25"/>
      <c r="C5" s="25"/>
      <c r="D5" s="25"/>
    </row>
    <row r="6" spans="1:6" ht="16.5" customHeight="1">
      <c r="A6" s="606" t="s">
        <v>333</v>
      </c>
      <c r="B6" s="606"/>
      <c r="C6" s="606"/>
      <c r="D6" s="8"/>
      <c r="E6" s="69" t="s">
        <v>164</v>
      </c>
      <c r="F6" s="69" t="s">
        <v>165</v>
      </c>
    </row>
    <row r="7" spans="1:6" ht="15" customHeight="1">
      <c r="A7" s="8"/>
      <c r="B7" s="580" t="s">
        <v>205</v>
      </c>
      <c r="C7" s="580"/>
      <c r="D7" s="580"/>
      <c r="E7" s="164">
        <v>5</v>
      </c>
      <c r="F7" s="165">
        <v>31</v>
      </c>
    </row>
    <row r="8" spans="1:6" ht="15" customHeight="1">
      <c r="A8" s="8"/>
      <c r="B8" s="580" t="s">
        <v>304</v>
      </c>
      <c r="C8" s="580"/>
      <c r="D8" s="580"/>
      <c r="E8" s="164">
        <v>1</v>
      </c>
      <c r="F8" s="165">
        <v>12</v>
      </c>
    </row>
    <row r="9" spans="1:30" s="153" customFormat="1" ht="15" customHeight="1">
      <c r="A9" s="8"/>
      <c r="B9" s="580" t="s">
        <v>477</v>
      </c>
      <c r="C9" s="580"/>
      <c r="D9" s="580"/>
      <c r="E9" s="164">
        <v>12</v>
      </c>
      <c r="F9" s="165">
        <v>21</v>
      </c>
      <c r="G9" s="10"/>
      <c r="H9" s="166"/>
      <c r="I9" s="167"/>
      <c r="J9" s="168"/>
      <c r="K9" s="168"/>
      <c r="L9" s="168"/>
      <c r="M9" s="167"/>
      <c r="N9" s="166"/>
      <c r="O9" s="167"/>
      <c r="P9" s="166"/>
      <c r="Q9" s="167"/>
      <c r="R9" s="166"/>
      <c r="S9" s="168"/>
      <c r="T9" s="168"/>
      <c r="U9" s="167"/>
      <c r="V9" s="166"/>
      <c r="W9" s="167"/>
      <c r="X9" s="166"/>
      <c r="Y9" s="167"/>
      <c r="Z9" s="166"/>
      <c r="AA9" s="167"/>
      <c r="AB9" s="166"/>
      <c r="AC9" s="67"/>
      <c r="AD9" s="68"/>
    </row>
    <row r="10" spans="1:30" s="153" customFormat="1" ht="15" customHeight="1">
      <c r="A10" s="8"/>
      <c r="B10" s="580" t="s">
        <v>220</v>
      </c>
      <c r="C10" s="580"/>
      <c r="D10" s="580"/>
      <c r="E10" s="164">
        <v>4</v>
      </c>
      <c r="F10" s="165">
        <v>20</v>
      </c>
      <c r="G10" s="10"/>
      <c r="H10" s="168"/>
      <c r="I10" s="167"/>
      <c r="J10" s="168"/>
      <c r="K10" s="168"/>
      <c r="L10" s="168"/>
      <c r="M10" s="168"/>
      <c r="N10" s="168"/>
      <c r="O10" s="167"/>
      <c r="P10" s="166"/>
      <c r="Q10" s="167"/>
      <c r="R10" s="166"/>
      <c r="S10" s="168"/>
      <c r="T10" s="168"/>
      <c r="U10" s="167"/>
      <c r="V10" s="166"/>
      <c r="W10" s="167"/>
      <c r="X10" s="166"/>
      <c r="Y10" s="167"/>
      <c r="Z10" s="166"/>
      <c r="AA10" s="167"/>
      <c r="AB10" s="166"/>
      <c r="AC10" s="67"/>
      <c r="AD10" s="68"/>
    </row>
    <row r="11" spans="1:30" s="153" customFormat="1" ht="27.75" customHeight="1">
      <c r="A11" s="8"/>
      <c r="B11" s="576" t="s">
        <v>478</v>
      </c>
      <c r="C11" s="580"/>
      <c r="D11" s="580"/>
      <c r="E11" s="164">
        <v>1</v>
      </c>
      <c r="F11" s="165">
        <v>47</v>
      </c>
      <c r="G11" s="10"/>
      <c r="H11" s="166"/>
      <c r="I11" s="167"/>
      <c r="J11" s="168"/>
      <c r="K11" s="168"/>
      <c r="L11" s="168"/>
      <c r="M11" s="167"/>
      <c r="N11" s="166"/>
      <c r="O11" s="167"/>
      <c r="P11" s="166"/>
      <c r="Q11" s="167"/>
      <c r="R11" s="166"/>
      <c r="S11" s="168"/>
      <c r="T11" s="168"/>
      <c r="U11" s="167"/>
      <c r="V11" s="166"/>
      <c r="W11" s="167"/>
      <c r="X11" s="166"/>
      <c r="Y11" s="167"/>
      <c r="Z11" s="166"/>
      <c r="AA11" s="167"/>
      <c r="AB11" s="166"/>
      <c r="AC11" s="67"/>
      <c r="AD11" s="68"/>
    </row>
    <row r="12" spans="1:30" s="153" customFormat="1" ht="15" customHeight="1">
      <c r="A12" s="8"/>
      <c r="B12" s="576" t="s">
        <v>16</v>
      </c>
      <c r="C12" s="580"/>
      <c r="D12" s="580"/>
      <c r="E12" s="164">
        <v>1</v>
      </c>
      <c r="F12" s="165">
        <v>62</v>
      </c>
      <c r="G12" s="10"/>
      <c r="H12" s="168"/>
      <c r="I12" s="167"/>
      <c r="J12" s="168"/>
      <c r="K12" s="168"/>
      <c r="L12" s="168"/>
      <c r="M12" s="168"/>
      <c r="N12" s="168"/>
      <c r="O12" s="167"/>
      <c r="P12" s="166"/>
      <c r="Q12" s="167"/>
      <c r="R12" s="166"/>
      <c r="S12" s="168"/>
      <c r="T12" s="168"/>
      <c r="U12" s="167"/>
      <c r="V12" s="166"/>
      <c r="W12" s="167"/>
      <c r="X12" s="166"/>
      <c r="Y12" s="167"/>
      <c r="Z12" s="166"/>
      <c r="AA12" s="167"/>
      <c r="AB12" s="166"/>
      <c r="AC12" s="67"/>
      <c r="AD12" s="68"/>
    </row>
    <row r="13" spans="1:30" s="153" customFormat="1" ht="16.5" customHeight="1">
      <c r="A13" s="10"/>
      <c r="B13" s="10"/>
      <c r="C13" s="10"/>
      <c r="D13" s="10"/>
      <c r="E13" s="10"/>
      <c r="F13" s="10"/>
      <c r="G13" s="10"/>
      <c r="H13" s="168"/>
      <c r="I13" s="167"/>
      <c r="J13" s="168"/>
      <c r="K13" s="168"/>
      <c r="L13" s="168"/>
      <c r="M13" s="168"/>
      <c r="N13" s="168"/>
      <c r="O13" s="167"/>
      <c r="P13" s="166"/>
      <c r="Q13" s="167"/>
      <c r="R13" s="166"/>
      <c r="S13" s="168"/>
      <c r="T13" s="168"/>
      <c r="U13" s="167"/>
      <c r="V13" s="166"/>
      <c r="W13" s="167"/>
      <c r="X13" s="166"/>
      <c r="Y13" s="167"/>
      <c r="Z13" s="166"/>
      <c r="AA13" s="167"/>
      <c r="AB13" s="166"/>
      <c r="AC13" s="67"/>
      <c r="AD13" s="68"/>
    </row>
    <row r="14" spans="1:6" ht="16.5" customHeight="1">
      <c r="A14" s="468" t="s">
        <v>334</v>
      </c>
      <c r="B14" s="468"/>
      <c r="C14" s="468"/>
      <c r="D14" s="25"/>
      <c r="E14" s="69" t="s">
        <v>164</v>
      </c>
      <c r="F14" s="69" t="s">
        <v>165</v>
      </c>
    </row>
    <row r="15" spans="1:6" ht="15" customHeight="1">
      <c r="A15" s="25"/>
      <c r="B15" s="580" t="s">
        <v>17</v>
      </c>
      <c r="C15" s="580"/>
      <c r="D15" s="580"/>
      <c r="E15" s="169">
        <v>20</v>
      </c>
      <c r="F15" s="170">
        <v>201</v>
      </c>
    </row>
    <row r="16" spans="1:6" ht="15" customHeight="1">
      <c r="A16" s="25"/>
      <c r="B16" s="576" t="s">
        <v>18</v>
      </c>
      <c r="C16" s="576"/>
      <c r="D16" s="576"/>
      <c r="E16" s="169">
        <v>2</v>
      </c>
      <c r="F16" s="170">
        <v>25</v>
      </c>
    </row>
    <row r="17" spans="1:6" ht="27.75" customHeight="1">
      <c r="A17" s="25"/>
      <c r="B17" s="601" t="s">
        <v>19</v>
      </c>
      <c r="C17" s="604"/>
      <c r="D17" s="605"/>
      <c r="E17" s="169">
        <v>1</v>
      </c>
      <c r="F17" s="170">
        <v>96</v>
      </c>
    </row>
    <row r="18" spans="1:6" ht="15" customHeight="1">
      <c r="A18" s="25"/>
      <c r="B18" s="580" t="s">
        <v>20</v>
      </c>
      <c r="C18" s="580"/>
      <c r="D18" s="580"/>
      <c r="E18" s="169">
        <v>11</v>
      </c>
      <c r="F18" s="170">
        <v>97</v>
      </c>
    </row>
    <row r="19" spans="1:6" ht="15" customHeight="1">
      <c r="A19" s="25"/>
      <c r="B19" s="576" t="s">
        <v>514</v>
      </c>
      <c r="C19" s="576"/>
      <c r="D19" s="576"/>
      <c r="E19" s="169">
        <v>4</v>
      </c>
      <c r="F19" s="170">
        <v>238</v>
      </c>
    </row>
    <row r="20" spans="1:6" ht="15" customHeight="1">
      <c r="A20" s="25"/>
      <c r="B20" s="576" t="s">
        <v>21</v>
      </c>
      <c r="C20" s="576"/>
      <c r="D20" s="576"/>
      <c r="E20" s="169">
        <v>3</v>
      </c>
      <c r="F20" s="170">
        <v>92</v>
      </c>
    </row>
    <row r="21" spans="1:6" ht="15" customHeight="1">
      <c r="A21" s="25"/>
      <c r="B21" s="601" t="s">
        <v>22</v>
      </c>
      <c r="C21" s="604"/>
      <c r="D21" s="605"/>
      <c r="E21" s="169">
        <v>32</v>
      </c>
      <c r="F21" s="170">
        <v>740</v>
      </c>
    </row>
    <row r="22" spans="1:6" ht="15" customHeight="1">
      <c r="A22" s="25"/>
      <c r="B22" s="601" t="s">
        <v>515</v>
      </c>
      <c r="C22" s="602"/>
      <c r="D22" s="603"/>
      <c r="E22" s="171">
        <v>1</v>
      </c>
      <c r="F22" s="170">
        <v>28</v>
      </c>
    </row>
    <row r="23" spans="1:6" ht="27.75" customHeight="1">
      <c r="A23" s="25"/>
      <c r="B23" s="601" t="s">
        <v>23</v>
      </c>
      <c r="C23" s="604"/>
      <c r="D23" s="605"/>
      <c r="E23" s="169">
        <v>3</v>
      </c>
      <c r="F23" s="170">
        <v>87</v>
      </c>
    </row>
    <row r="24" spans="1:6" ht="27.75" customHeight="1">
      <c r="A24" s="25"/>
      <c r="B24" s="576" t="s">
        <v>24</v>
      </c>
      <c r="C24" s="576"/>
      <c r="D24" s="576"/>
      <c r="E24" s="171">
        <v>1</v>
      </c>
      <c r="F24" s="170">
        <v>8</v>
      </c>
    </row>
    <row r="25" ht="16.5" customHeight="1"/>
    <row r="26" spans="1:7" ht="16.5" customHeight="1">
      <c r="A26" s="606" t="s">
        <v>335</v>
      </c>
      <c r="B26" s="606"/>
      <c r="C26" s="606"/>
      <c r="D26" s="8"/>
      <c r="E26" s="69" t="s">
        <v>164</v>
      </c>
      <c r="F26" s="69" t="s">
        <v>165</v>
      </c>
      <c r="G26" s="67"/>
    </row>
    <row r="27" spans="1:7" ht="15" customHeight="1">
      <c r="A27" s="8"/>
      <c r="B27" s="580" t="s">
        <v>205</v>
      </c>
      <c r="C27" s="580"/>
      <c r="D27" s="580"/>
      <c r="E27" s="172">
        <v>30</v>
      </c>
      <c r="F27" s="173">
        <v>202</v>
      </c>
      <c r="G27" s="67"/>
    </row>
    <row r="28" spans="1:7" ht="15" customHeight="1">
      <c r="A28" s="8"/>
      <c r="B28" s="580" t="s">
        <v>479</v>
      </c>
      <c r="C28" s="580"/>
      <c r="D28" s="580"/>
      <c r="E28" s="172">
        <v>11</v>
      </c>
      <c r="F28" s="173">
        <v>82</v>
      </c>
      <c r="G28" s="67"/>
    </row>
    <row r="29" spans="2:6" ht="15" customHeight="1">
      <c r="B29" s="596" t="s">
        <v>480</v>
      </c>
      <c r="C29" s="597"/>
      <c r="D29" s="597"/>
      <c r="E29" s="169">
        <v>3</v>
      </c>
      <c r="F29" s="170">
        <v>24</v>
      </c>
    </row>
    <row r="30" spans="2:6" ht="15" customHeight="1">
      <c r="B30" s="596" t="s">
        <v>481</v>
      </c>
      <c r="C30" s="597"/>
      <c r="D30" s="597"/>
      <c r="E30" s="169">
        <v>1</v>
      </c>
      <c r="F30" s="170">
        <v>32</v>
      </c>
    </row>
    <row r="31" spans="2:6" ht="15" customHeight="1">
      <c r="B31" s="593" t="s">
        <v>435</v>
      </c>
      <c r="C31" s="594"/>
      <c r="D31" s="595"/>
      <c r="E31" s="169">
        <v>1</v>
      </c>
      <c r="F31" s="170">
        <v>14</v>
      </c>
    </row>
    <row r="32" spans="2:6" ht="15" customHeight="1">
      <c r="B32" s="575" t="s">
        <v>25</v>
      </c>
      <c r="C32" s="577"/>
      <c r="D32" s="577"/>
      <c r="E32" s="169">
        <v>3</v>
      </c>
      <c r="F32" s="170">
        <v>19</v>
      </c>
    </row>
    <row r="33" spans="2:6" ht="15" customHeight="1">
      <c r="B33" s="583" t="s">
        <v>345</v>
      </c>
      <c r="C33" s="581"/>
      <c r="D33" s="582"/>
      <c r="E33" s="169">
        <v>1</v>
      </c>
      <c r="F33" s="170">
        <v>12</v>
      </c>
    </row>
    <row r="34" spans="2:6" ht="15" customHeight="1">
      <c r="B34" s="583" t="s">
        <v>346</v>
      </c>
      <c r="C34" s="581"/>
      <c r="D34" s="582"/>
      <c r="E34" s="169">
        <v>3</v>
      </c>
      <c r="F34" s="170">
        <v>40</v>
      </c>
    </row>
    <row r="35" spans="2:6" ht="15" customHeight="1">
      <c r="B35" s="593" t="s">
        <v>162</v>
      </c>
      <c r="C35" s="594"/>
      <c r="D35" s="595"/>
      <c r="E35" s="174">
        <v>1</v>
      </c>
      <c r="F35" s="170">
        <v>28</v>
      </c>
    </row>
    <row r="36" spans="2:6" ht="15" customHeight="1">
      <c r="B36" s="583" t="s">
        <v>482</v>
      </c>
      <c r="C36" s="581"/>
      <c r="D36" s="582"/>
      <c r="E36" s="169">
        <v>1</v>
      </c>
      <c r="F36" s="170">
        <v>8</v>
      </c>
    </row>
    <row r="37" spans="2:6" ht="15" customHeight="1">
      <c r="B37" s="598" t="s">
        <v>155</v>
      </c>
      <c r="C37" s="599"/>
      <c r="D37" s="600"/>
      <c r="E37" s="174">
        <v>1</v>
      </c>
      <c r="F37" s="170">
        <v>33</v>
      </c>
    </row>
    <row r="38" ht="16.5" customHeight="1"/>
    <row r="39" spans="1:6" ht="16.5" customHeight="1">
      <c r="A39" s="468" t="s">
        <v>336</v>
      </c>
      <c r="B39" s="468"/>
      <c r="C39" s="468"/>
      <c r="D39" s="25"/>
      <c r="E39" s="69" t="s">
        <v>164</v>
      </c>
      <c r="F39" s="69" t="s">
        <v>165</v>
      </c>
    </row>
    <row r="40" spans="1:6" ht="15" customHeight="1">
      <c r="A40" s="25"/>
      <c r="B40" s="580" t="s">
        <v>26</v>
      </c>
      <c r="C40" s="580"/>
      <c r="D40" s="580"/>
      <c r="E40" s="151">
        <v>25</v>
      </c>
      <c r="F40" s="152">
        <v>83</v>
      </c>
    </row>
    <row r="41" spans="1:6" ht="15" customHeight="1">
      <c r="A41" s="25"/>
      <c r="B41" s="580" t="s">
        <v>27</v>
      </c>
      <c r="C41" s="580"/>
      <c r="D41" s="580"/>
      <c r="E41" s="151">
        <v>3</v>
      </c>
      <c r="F41" s="152">
        <v>98</v>
      </c>
    </row>
    <row r="42" spans="1:6" ht="15" customHeight="1">
      <c r="A42" s="25"/>
      <c r="B42" s="585" t="s">
        <v>489</v>
      </c>
      <c r="C42" s="586"/>
      <c r="D42" s="587"/>
      <c r="E42" s="171">
        <v>1</v>
      </c>
      <c r="F42" s="152">
        <v>5</v>
      </c>
    </row>
    <row r="43" spans="1:6" ht="15" customHeight="1">
      <c r="A43" s="25"/>
      <c r="B43" s="580" t="s">
        <v>226</v>
      </c>
      <c r="C43" s="580"/>
      <c r="D43" s="580"/>
      <c r="E43" s="151">
        <v>11</v>
      </c>
      <c r="F43" s="152">
        <v>141</v>
      </c>
    </row>
    <row r="44" spans="2:6" ht="15" customHeight="1">
      <c r="B44" s="580" t="s">
        <v>243</v>
      </c>
      <c r="C44" s="580"/>
      <c r="D44" s="580"/>
      <c r="E44" s="151">
        <v>3</v>
      </c>
      <c r="F44" s="152">
        <v>122</v>
      </c>
    </row>
    <row r="45" spans="2:6" ht="15" customHeight="1">
      <c r="B45" s="585" t="s">
        <v>490</v>
      </c>
      <c r="C45" s="591"/>
      <c r="D45" s="592"/>
      <c r="E45" s="151">
        <v>3</v>
      </c>
      <c r="F45" s="152">
        <v>66</v>
      </c>
    </row>
  </sheetData>
  <mergeCells count="40">
    <mergeCell ref="B8:D8"/>
    <mergeCell ref="B9:D9"/>
    <mergeCell ref="B19:D19"/>
    <mergeCell ref="B20:D20"/>
    <mergeCell ref="B15:D15"/>
    <mergeCell ref="B11:D11"/>
    <mergeCell ref="B12:D12"/>
    <mergeCell ref="B10:D10"/>
    <mergeCell ref="A14:C14"/>
    <mergeCell ref="A2:C2"/>
    <mergeCell ref="B3:D3"/>
    <mergeCell ref="A6:C6"/>
    <mergeCell ref="B7:D7"/>
    <mergeCell ref="B4:D4"/>
    <mergeCell ref="B27:D27"/>
    <mergeCell ref="B16:D16"/>
    <mergeCell ref="B22:D22"/>
    <mergeCell ref="B23:D23"/>
    <mergeCell ref="B24:D24"/>
    <mergeCell ref="A26:C26"/>
    <mergeCell ref="B17:D17"/>
    <mergeCell ref="B18:D18"/>
    <mergeCell ref="B21:D21"/>
    <mergeCell ref="B36:D36"/>
    <mergeCell ref="A39:C39"/>
    <mergeCell ref="B40:D40"/>
    <mergeCell ref="B37:D37"/>
    <mergeCell ref="B35:D35"/>
    <mergeCell ref="B33:D33"/>
    <mergeCell ref="B34:D34"/>
    <mergeCell ref="B28:D28"/>
    <mergeCell ref="B29:D29"/>
    <mergeCell ref="B30:D30"/>
    <mergeCell ref="B31:D31"/>
    <mergeCell ref="B32:D32"/>
    <mergeCell ref="B45:D45"/>
    <mergeCell ref="B41:D41"/>
    <mergeCell ref="B42:D42"/>
    <mergeCell ref="B43:D43"/>
    <mergeCell ref="B44:D44"/>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&amp;C&amp;A
</oddFooter>
  </headerFooter>
</worksheet>
</file>

<file path=xl/worksheets/sheet14.xml><?xml version="1.0" encoding="utf-8"?>
<worksheet xmlns="http://schemas.openxmlformats.org/spreadsheetml/2006/main" xmlns:r="http://schemas.openxmlformats.org/officeDocument/2006/relationships">
  <dimension ref="A1:N52"/>
  <sheetViews>
    <sheetView workbookViewId="0" topLeftCell="A34">
      <selection activeCell="A1" sqref="A1:D1"/>
    </sheetView>
  </sheetViews>
  <sheetFormatPr defaultColWidth="9.00390625" defaultRowHeight="13.5"/>
  <cols>
    <col min="1" max="1" width="9.00390625" style="10" customWidth="1"/>
    <col min="2" max="4" width="12.625" style="10" customWidth="1"/>
    <col min="5" max="5" width="8.625" style="10" customWidth="1"/>
    <col min="6" max="6" width="17.625" style="10" customWidth="1"/>
    <col min="7" max="16384" width="9.00390625" style="10" customWidth="1"/>
  </cols>
  <sheetData>
    <row r="1" spans="1:6" ht="16.5" customHeight="1">
      <c r="A1" s="468" t="s">
        <v>337</v>
      </c>
      <c r="B1" s="468"/>
      <c r="C1" s="468"/>
      <c r="D1" s="468"/>
      <c r="E1" s="69" t="s">
        <v>164</v>
      </c>
      <c r="F1" s="69" t="s">
        <v>165</v>
      </c>
    </row>
    <row r="2" spans="2:6" ht="15" customHeight="1">
      <c r="B2" s="580" t="s">
        <v>440</v>
      </c>
      <c r="C2" s="580"/>
      <c r="D2" s="580"/>
      <c r="E2" s="151">
        <v>11</v>
      </c>
      <c r="F2" s="152">
        <v>229</v>
      </c>
    </row>
    <row r="3" spans="2:6" ht="15" customHeight="1">
      <c r="B3" s="580" t="s">
        <v>12</v>
      </c>
      <c r="C3" s="577"/>
      <c r="D3" s="577"/>
      <c r="E3" s="151">
        <v>1</v>
      </c>
      <c r="F3" s="152">
        <v>55</v>
      </c>
    </row>
    <row r="4" spans="2:6" ht="15" customHeight="1">
      <c r="B4" s="580" t="s">
        <v>13</v>
      </c>
      <c r="C4" s="580"/>
      <c r="D4" s="580"/>
      <c r="E4" s="151">
        <v>2</v>
      </c>
      <c r="F4" s="152">
        <v>44</v>
      </c>
    </row>
    <row r="5" spans="2:6" ht="15" customHeight="1">
      <c r="B5" s="580" t="s">
        <v>14</v>
      </c>
      <c r="C5" s="577"/>
      <c r="D5" s="577"/>
      <c r="E5" s="151">
        <v>42</v>
      </c>
      <c r="F5" s="152">
        <v>567</v>
      </c>
    </row>
    <row r="6" spans="2:6" ht="15" customHeight="1">
      <c r="B6" s="580" t="s">
        <v>158</v>
      </c>
      <c r="C6" s="577"/>
      <c r="D6" s="577"/>
      <c r="E6" s="151">
        <v>2</v>
      </c>
      <c r="F6" s="152">
        <v>115</v>
      </c>
    </row>
    <row r="7" spans="2:6" ht="15" customHeight="1">
      <c r="B7" s="580" t="s">
        <v>162</v>
      </c>
      <c r="C7" s="577"/>
      <c r="D7" s="577"/>
      <c r="E7" s="151">
        <v>1</v>
      </c>
      <c r="F7" s="152">
        <v>59</v>
      </c>
    </row>
    <row r="8" spans="2:6" ht="15" customHeight="1">
      <c r="B8" s="580" t="s">
        <v>483</v>
      </c>
      <c r="C8" s="577"/>
      <c r="D8" s="577"/>
      <c r="E8" s="151">
        <v>7</v>
      </c>
      <c r="F8" s="152">
        <v>84</v>
      </c>
    </row>
    <row r="9" spans="2:6" ht="15" customHeight="1">
      <c r="B9" s="580" t="s">
        <v>484</v>
      </c>
      <c r="C9" s="577"/>
      <c r="D9" s="577"/>
      <c r="E9" s="151">
        <v>2</v>
      </c>
      <c r="F9" s="152">
        <v>55</v>
      </c>
    </row>
    <row r="10" spans="2:6" ht="15" customHeight="1">
      <c r="B10" s="580" t="s">
        <v>485</v>
      </c>
      <c r="C10" s="577"/>
      <c r="D10" s="577"/>
      <c r="E10" s="151">
        <v>1</v>
      </c>
      <c r="F10" s="152">
        <v>90</v>
      </c>
    </row>
    <row r="11" spans="2:6" ht="15" customHeight="1">
      <c r="B11" s="580" t="s">
        <v>486</v>
      </c>
      <c r="C11" s="577"/>
      <c r="D11" s="577"/>
      <c r="E11" s="151">
        <v>1</v>
      </c>
      <c r="F11" s="152">
        <v>60</v>
      </c>
    </row>
    <row r="12" spans="2:6" ht="15" customHeight="1">
      <c r="B12" s="580" t="s">
        <v>487</v>
      </c>
      <c r="C12" s="577"/>
      <c r="D12" s="577"/>
      <c r="E12" s="151">
        <v>1</v>
      </c>
      <c r="F12" s="152">
        <v>114</v>
      </c>
    </row>
    <row r="13" spans="2:6" ht="15" customHeight="1">
      <c r="B13" s="580" t="s">
        <v>488</v>
      </c>
      <c r="C13" s="577"/>
      <c r="D13" s="577"/>
      <c r="E13" s="151">
        <v>3</v>
      </c>
      <c r="F13" s="152">
        <v>338</v>
      </c>
    </row>
    <row r="14" ht="15" customHeight="1"/>
    <row r="15" spans="1:3" ht="16.5" customHeight="1">
      <c r="A15" s="10" t="s">
        <v>431</v>
      </c>
      <c r="B15" s="25"/>
      <c r="C15" s="25"/>
    </row>
    <row r="16" spans="1:4" ht="15" customHeight="1">
      <c r="A16" s="614" t="s">
        <v>168</v>
      </c>
      <c r="B16" s="614"/>
      <c r="C16" s="614"/>
      <c r="D16" s="614"/>
    </row>
    <row r="17" spans="1:14" s="153" customFormat="1" ht="15" customHeight="1">
      <c r="A17" s="90"/>
      <c r="B17" s="611" t="s">
        <v>492</v>
      </c>
      <c r="C17" s="609"/>
      <c r="D17" s="609"/>
      <c r="E17" s="610"/>
      <c r="F17" s="410" t="s">
        <v>67</v>
      </c>
      <c r="G17" s="91"/>
      <c r="H17" s="91"/>
      <c r="I17" s="91"/>
      <c r="K17" s="154"/>
      <c r="L17" s="154"/>
      <c r="M17" s="155"/>
      <c r="N17" s="154"/>
    </row>
    <row r="18" spans="1:14" s="153" customFormat="1" ht="15" customHeight="1">
      <c r="A18" s="90"/>
      <c r="B18" s="611" t="s">
        <v>493</v>
      </c>
      <c r="C18" s="609"/>
      <c r="D18" s="609"/>
      <c r="E18" s="610"/>
      <c r="F18" s="410" t="s">
        <v>68</v>
      </c>
      <c r="G18" s="91"/>
      <c r="H18" s="91"/>
      <c r="I18" s="91"/>
      <c r="K18" s="154"/>
      <c r="L18" s="154"/>
      <c r="M18" s="155"/>
      <c r="N18" s="154"/>
    </row>
    <row r="19" spans="1:14" s="153" customFormat="1" ht="27.75" customHeight="1">
      <c r="A19" s="90"/>
      <c r="B19" s="608" t="s">
        <v>494</v>
      </c>
      <c r="C19" s="609"/>
      <c r="D19" s="609"/>
      <c r="E19" s="610"/>
      <c r="F19" s="410" t="s">
        <v>69</v>
      </c>
      <c r="G19" s="91"/>
      <c r="H19" s="91"/>
      <c r="I19" s="91"/>
      <c r="K19" s="154"/>
      <c r="L19" s="154"/>
      <c r="M19" s="155"/>
      <c r="N19" s="154"/>
    </row>
    <row r="20" spans="1:14" s="153" customFormat="1" ht="27.75" customHeight="1">
      <c r="A20" s="90"/>
      <c r="B20" s="608" t="s">
        <v>495</v>
      </c>
      <c r="C20" s="609"/>
      <c r="D20" s="609"/>
      <c r="E20" s="610"/>
      <c r="F20" s="410" t="s">
        <v>70</v>
      </c>
      <c r="G20" s="91"/>
      <c r="H20" s="91"/>
      <c r="I20" s="91"/>
      <c r="K20" s="154"/>
      <c r="L20" s="154"/>
      <c r="M20" s="155"/>
      <c r="N20" s="154"/>
    </row>
    <row r="21" spans="1:14" s="153" customFormat="1" ht="15" customHeight="1">
      <c r="A21" s="90"/>
      <c r="B21" s="611" t="s">
        <v>496</v>
      </c>
      <c r="C21" s="609"/>
      <c r="D21" s="609"/>
      <c r="E21" s="610"/>
      <c r="F21" s="410" t="s">
        <v>71</v>
      </c>
      <c r="G21" s="91"/>
      <c r="H21" s="91"/>
      <c r="I21" s="91"/>
      <c r="K21" s="154"/>
      <c r="L21" s="154"/>
      <c r="M21" s="155"/>
      <c r="N21" s="154"/>
    </row>
    <row r="22" spans="1:14" s="153" customFormat="1" ht="27.75" customHeight="1">
      <c r="A22" s="90"/>
      <c r="B22" s="608" t="s">
        <v>497</v>
      </c>
      <c r="C22" s="609"/>
      <c r="D22" s="609"/>
      <c r="E22" s="610"/>
      <c r="F22" s="410" t="s">
        <v>72</v>
      </c>
      <c r="G22" s="91"/>
      <c r="H22" s="91"/>
      <c r="I22" s="91"/>
      <c r="K22" s="154"/>
      <c r="L22" s="154"/>
      <c r="M22" s="155"/>
      <c r="N22" s="154"/>
    </row>
    <row r="23" spans="1:14" s="153" customFormat="1" ht="27.75" customHeight="1">
      <c r="A23" s="90"/>
      <c r="B23" s="608" t="s">
        <v>498</v>
      </c>
      <c r="C23" s="609"/>
      <c r="D23" s="609"/>
      <c r="E23" s="610"/>
      <c r="F23" s="410" t="s">
        <v>73</v>
      </c>
      <c r="G23" s="91"/>
      <c r="H23" s="91"/>
      <c r="I23" s="91"/>
      <c r="K23" s="154"/>
      <c r="L23" s="154"/>
      <c r="M23" s="155"/>
      <c r="N23" s="154"/>
    </row>
    <row r="24" spans="1:14" s="153" customFormat="1" ht="15" customHeight="1">
      <c r="A24" s="90"/>
      <c r="B24" s="611" t="s">
        <v>499</v>
      </c>
      <c r="C24" s="609"/>
      <c r="D24" s="609"/>
      <c r="E24" s="610"/>
      <c r="F24" s="410" t="s">
        <v>74</v>
      </c>
      <c r="G24" s="91"/>
      <c r="H24" s="91"/>
      <c r="I24" s="91"/>
      <c r="K24" s="154"/>
      <c r="L24" s="154"/>
      <c r="M24" s="155"/>
      <c r="N24" s="154"/>
    </row>
    <row r="25" spans="1:14" s="153" customFormat="1" ht="27.75" customHeight="1">
      <c r="A25" s="90"/>
      <c r="B25" s="608" t="s">
        <v>500</v>
      </c>
      <c r="C25" s="609"/>
      <c r="D25" s="609"/>
      <c r="E25" s="610"/>
      <c r="F25" s="410" t="s">
        <v>75</v>
      </c>
      <c r="G25" s="91"/>
      <c r="H25" s="91"/>
      <c r="I25" s="91"/>
      <c r="K25" s="154"/>
      <c r="L25" s="154"/>
      <c r="M25" s="155"/>
      <c r="N25" s="154"/>
    </row>
    <row r="26" spans="1:14" s="153" customFormat="1" ht="27.75" customHeight="1">
      <c r="A26" s="90"/>
      <c r="B26" s="608" t="s">
        <v>501</v>
      </c>
      <c r="C26" s="612"/>
      <c r="D26" s="612"/>
      <c r="E26" s="613"/>
      <c r="F26" s="410" t="s">
        <v>76</v>
      </c>
      <c r="G26" s="91"/>
      <c r="H26" s="91"/>
      <c r="I26" s="91"/>
      <c r="K26" s="154"/>
      <c r="L26" s="154"/>
      <c r="M26" s="155"/>
      <c r="N26" s="154"/>
    </row>
    <row r="27" spans="1:14" s="153" customFormat="1" ht="15" customHeight="1">
      <c r="A27" s="90"/>
      <c r="B27" s="611" t="s">
        <v>502</v>
      </c>
      <c r="C27" s="609"/>
      <c r="D27" s="609"/>
      <c r="E27" s="610"/>
      <c r="F27" s="410" t="s">
        <v>77</v>
      </c>
      <c r="G27" s="91"/>
      <c r="H27" s="91"/>
      <c r="I27" s="91"/>
      <c r="K27" s="154"/>
      <c r="L27" s="154"/>
      <c r="M27" s="155"/>
      <c r="N27" s="154"/>
    </row>
    <row r="28" spans="1:14" s="153" customFormat="1" ht="15" customHeight="1">
      <c r="A28" s="90"/>
      <c r="B28" s="611" t="s">
        <v>503</v>
      </c>
      <c r="C28" s="609"/>
      <c r="D28" s="609"/>
      <c r="E28" s="610"/>
      <c r="F28" s="410" t="s">
        <v>78</v>
      </c>
      <c r="G28" s="91"/>
      <c r="H28" s="91"/>
      <c r="I28" s="91"/>
      <c r="K28" s="154"/>
      <c r="L28" s="154"/>
      <c r="M28" s="155"/>
      <c r="N28" s="154"/>
    </row>
    <row r="29" spans="1:3" ht="9.75" customHeight="1">
      <c r="A29" s="89"/>
      <c r="B29" s="25"/>
      <c r="C29" s="89"/>
    </row>
    <row r="30" spans="1:4" ht="15" customHeight="1">
      <c r="A30" s="468" t="s">
        <v>5</v>
      </c>
      <c r="B30" s="468"/>
      <c r="C30" s="468"/>
      <c r="D30" s="468"/>
    </row>
    <row r="31" spans="1:14" s="153" customFormat="1" ht="27.75" customHeight="1">
      <c r="A31" s="90"/>
      <c r="B31" s="608" t="s">
        <v>15</v>
      </c>
      <c r="C31" s="609"/>
      <c r="D31" s="609"/>
      <c r="E31" s="610"/>
      <c r="F31" s="410" t="s">
        <v>79</v>
      </c>
      <c r="G31" s="91"/>
      <c r="H31" s="91"/>
      <c r="I31" s="91"/>
      <c r="K31" s="154"/>
      <c r="L31" s="154"/>
      <c r="M31" s="155"/>
      <c r="N31" s="154"/>
    </row>
    <row r="32" spans="1:14" s="153" customFormat="1" ht="9.75" customHeight="1">
      <c r="A32" s="90"/>
      <c r="B32" s="156"/>
      <c r="C32" s="157"/>
      <c r="D32" s="157"/>
      <c r="E32" s="157"/>
      <c r="F32" s="158"/>
      <c r="G32" s="91"/>
      <c r="H32" s="91"/>
      <c r="I32" s="91"/>
      <c r="K32" s="154"/>
      <c r="L32" s="154"/>
      <c r="M32" s="155"/>
      <c r="N32" s="154"/>
    </row>
    <row r="33" spans="1:6" ht="15" customHeight="1">
      <c r="A33" s="468" t="s">
        <v>0</v>
      </c>
      <c r="B33" s="468"/>
      <c r="C33" s="468"/>
      <c r="D33" s="468"/>
      <c r="F33" s="409"/>
    </row>
    <row r="34" spans="1:14" s="153" customFormat="1" ht="15" customHeight="1">
      <c r="A34" s="90"/>
      <c r="B34" s="611" t="s">
        <v>1</v>
      </c>
      <c r="C34" s="609"/>
      <c r="D34" s="609"/>
      <c r="E34" s="610"/>
      <c r="F34" s="410" t="s">
        <v>80</v>
      </c>
      <c r="G34" s="91"/>
      <c r="H34" s="91"/>
      <c r="I34" s="91"/>
      <c r="K34" s="154"/>
      <c r="L34" s="154"/>
      <c r="M34" s="155"/>
      <c r="N34" s="154"/>
    </row>
    <row r="35" spans="1:14" s="153" customFormat="1" ht="15" customHeight="1">
      <c r="A35" s="90"/>
      <c r="B35" s="156"/>
      <c r="C35" s="157"/>
      <c r="D35" s="157"/>
      <c r="E35" s="157"/>
      <c r="F35" s="158"/>
      <c r="G35" s="91"/>
      <c r="H35" s="91"/>
      <c r="I35" s="91"/>
      <c r="K35" s="154"/>
      <c r="L35" s="154"/>
      <c r="M35" s="155"/>
      <c r="N35" s="154"/>
    </row>
    <row r="36" spans="1:6" ht="15" customHeight="1">
      <c r="A36" s="10" t="s">
        <v>432</v>
      </c>
      <c r="E36" s="69" t="s">
        <v>190</v>
      </c>
      <c r="F36" s="69" t="s">
        <v>229</v>
      </c>
    </row>
    <row r="37" spans="1:6" ht="15" customHeight="1">
      <c r="A37" s="468" t="s">
        <v>193</v>
      </c>
      <c r="B37" s="468"/>
      <c r="C37" s="468"/>
      <c r="D37" s="468"/>
      <c r="E37" s="65"/>
      <c r="F37" s="62"/>
    </row>
    <row r="38" spans="1:6" ht="15" customHeight="1">
      <c r="A38" s="25"/>
      <c r="B38" s="25" t="s">
        <v>522</v>
      </c>
      <c r="C38" s="25"/>
      <c r="D38" s="25"/>
      <c r="E38" s="142">
        <f>1+1+5+1+1+1+2+1</f>
        <v>13</v>
      </c>
      <c r="F38" s="143">
        <f>2+1+9+1+2+1+3+1</f>
        <v>20</v>
      </c>
    </row>
    <row r="39" spans="1:6" ht="15" customHeight="1">
      <c r="A39" s="25"/>
      <c r="B39" s="25" t="s">
        <v>323</v>
      </c>
      <c r="C39" s="25"/>
      <c r="D39" s="25"/>
      <c r="E39" s="142">
        <f>1</f>
        <v>1</v>
      </c>
      <c r="F39" s="143">
        <f>1+1</f>
        <v>2</v>
      </c>
    </row>
    <row r="40" spans="1:6" ht="15" customHeight="1">
      <c r="A40" s="25"/>
      <c r="B40" s="25" t="s">
        <v>7</v>
      </c>
      <c r="C40" s="25"/>
      <c r="D40" s="25"/>
      <c r="E40" s="142">
        <f>1</f>
        <v>1</v>
      </c>
      <c r="F40" s="143">
        <f>1</f>
        <v>1</v>
      </c>
    </row>
    <row r="41" spans="1:6" ht="15" customHeight="1">
      <c r="A41" s="25"/>
      <c r="B41" s="25" t="s">
        <v>9</v>
      </c>
      <c r="C41" s="25"/>
      <c r="D41" s="25"/>
      <c r="E41" s="142">
        <f>1+1</f>
        <v>2</v>
      </c>
      <c r="F41" s="143">
        <f>3+6</f>
        <v>9</v>
      </c>
    </row>
    <row r="42" spans="1:6" ht="15" customHeight="1">
      <c r="A42" s="25"/>
      <c r="B42" s="25" t="s">
        <v>89</v>
      </c>
      <c r="C42" s="25"/>
      <c r="D42" s="25"/>
      <c r="E42" s="142">
        <f>1+1+1</f>
        <v>3</v>
      </c>
      <c r="F42" s="143">
        <f>40+84+1</f>
        <v>125</v>
      </c>
    </row>
    <row r="43" spans="1:6" ht="15" customHeight="1">
      <c r="A43" s="468" t="s">
        <v>222</v>
      </c>
      <c r="B43" s="468"/>
      <c r="C43" s="468"/>
      <c r="D43" s="468"/>
      <c r="E43" s="142"/>
      <c r="F43" s="143"/>
    </row>
    <row r="44" spans="1:6" ht="15" customHeight="1">
      <c r="A44" s="25"/>
      <c r="B44" s="25" t="s">
        <v>88</v>
      </c>
      <c r="C44" s="25"/>
      <c r="D44" s="25"/>
      <c r="E44" s="142">
        <f>1+1+1+1+1+2+1</f>
        <v>8</v>
      </c>
      <c r="F44" s="143">
        <f>36+24+1+2+120+17+4</f>
        <v>204</v>
      </c>
    </row>
    <row r="45" spans="1:6" ht="15" customHeight="1">
      <c r="A45" s="25"/>
      <c r="B45" s="25" t="s">
        <v>87</v>
      </c>
      <c r="C45" s="25"/>
      <c r="D45" s="25"/>
      <c r="E45" s="142">
        <f>1+1+2</f>
        <v>4</v>
      </c>
      <c r="F45" s="143">
        <f>20+30+34</f>
        <v>84</v>
      </c>
    </row>
    <row r="46" spans="1:6" ht="15" customHeight="1">
      <c r="A46" s="468" t="s">
        <v>244</v>
      </c>
      <c r="B46" s="468"/>
      <c r="C46" s="468"/>
      <c r="D46" s="468"/>
      <c r="E46" s="142"/>
      <c r="F46" s="143"/>
    </row>
    <row r="47" spans="1:6" ht="15" customHeight="1">
      <c r="A47" s="25"/>
      <c r="B47" s="25" t="s">
        <v>86</v>
      </c>
      <c r="C47" s="25"/>
      <c r="D47" s="25"/>
      <c r="E47" s="142">
        <f>1+2+1</f>
        <v>4</v>
      </c>
      <c r="F47" s="143">
        <f>53+6+3</f>
        <v>62</v>
      </c>
    </row>
    <row r="48" spans="1:6" ht="15" customHeight="1">
      <c r="A48" s="468" t="s">
        <v>10</v>
      </c>
      <c r="B48" s="468"/>
      <c r="C48" s="468"/>
      <c r="D48" s="468"/>
      <c r="E48" s="142"/>
      <c r="F48" s="143"/>
    </row>
    <row r="49" spans="1:6" ht="15" customHeight="1">
      <c r="A49" s="25"/>
      <c r="B49" s="25" t="s">
        <v>9</v>
      </c>
      <c r="C49" s="25"/>
      <c r="D49" s="25"/>
      <c r="E49" s="142">
        <f>1</f>
        <v>1</v>
      </c>
      <c r="F49" s="143">
        <f>11</f>
        <v>11</v>
      </c>
    </row>
    <row r="50" spans="1:6" ht="15" customHeight="1">
      <c r="A50" s="468" t="s">
        <v>305</v>
      </c>
      <c r="B50" s="468"/>
      <c r="C50" s="468"/>
      <c r="D50" s="468"/>
      <c r="E50" s="142"/>
      <c r="F50" s="143"/>
    </row>
    <row r="51" spans="1:6" ht="15" customHeight="1">
      <c r="A51" s="25"/>
      <c r="B51" s="25" t="s">
        <v>86</v>
      </c>
      <c r="C51" s="25"/>
      <c r="D51" s="25"/>
      <c r="E51" s="142">
        <f>1+1+1+1</f>
        <v>4</v>
      </c>
      <c r="F51" s="143">
        <f>11+26+9+4</f>
        <v>50</v>
      </c>
    </row>
    <row r="52" spans="1:6" ht="15" customHeight="1">
      <c r="A52" s="25"/>
      <c r="B52" s="25" t="s">
        <v>580</v>
      </c>
      <c r="C52" s="25"/>
      <c r="D52" s="25"/>
      <c r="E52" s="142">
        <v>1</v>
      </c>
      <c r="F52" s="143">
        <v>2</v>
      </c>
    </row>
    <row r="54" ht="15" customHeight="1"/>
    <row r="55" ht="15" customHeight="1"/>
    <row r="56" ht="15" customHeight="1"/>
    <row r="57" ht="15" customHeight="1"/>
    <row r="58" ht="15" customHeight="1"/>
    <row r="59" ht="15" customHeight="1"/>
    <row r="60" ht="15" customHeight="1"/>
  </sheetData>
  <mergeCells count="35">
    <mergeCell ref="A1:D1"/>
    <mergeCell ref="B22:E22"/>
    <mergeCell ref="B21:E21"/>
    <mergeCell ref="B20:E20"/>
    <mergeCell ref="B19:E19"/>
    <mergeCell ref="B18:E18"/>
    <mergeCell ref="B17:E17"/>
    <mergeCell ref="B2:D2"/>
    <mergeCell ref="B4:D4"/>
    <mergeCell ref="B5:D5"/>
    <mergeCell ref="B3:D3"/>
    <mergeCell ref="B6:D6"/>
    <mergeCell ref="B7:D7"/>
    <mergeCell ref="B8:D8"/>
    <mergeCell ref="B9:D9"/>
    <mergeCell ref="B10:D10"/>
    <mergeCell ref="B11:D11"/>
    <mergeCell ref="B12:D12"/>
    <mergeCell ref="B13:D13"/>
    <mergeCell ref="B28:E28"/>
    <mergeCell ref="B27:E27"/>
    <mergeCell ref="B26:E26"/>
    <mergeCell ref="B25:E25"/>
    <mergeCell ref="A16:D16"/>
    <mergeCell ref="B24:E24"/>
    <mergeCell ref="B23:E23"/>
    <mergeCell ref="A48:D48"/>
    <mergeCell ref="A50:D50"/>
    <mergeCell ref="A46:D46"/>
    <mergeCell ref="A30:D30"/>
    <mergeCell ref="B31:E31"/>
    <mergeCell ref="A33:D33"/>
    <mergeCell ref="B34:E34"/>
    <mergeCell ref="A43:D43"/>
    <mergeCell ref="A37:D37"/>
  </mergeCells>
  <printOptions/>
  <pageMargins left="0.7874015748031497" right="0.7874015748031497" top="0.1968503937007874" bottom="0.3937007874015748" header="0.5118110236220472" footer="0.5118110236220472"/>
  <pageSetup horizontalDpi="600" verticalDpi="600" orientation="portrait" paperSize="9"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dimension ref="A1:J52"/>
  <sheetViews>
    <sheetView workbookViewId="0" topLeftCell="A1">
      <selection activeCell="A1" sqref="A1:D1"/>
    </sheetView>
  </sheetViews>
  <sheetFormatPr defaultColWidth="9.00390625" defaultRowHeight="13.5"/>
  <cols>
    <col min="1" max="1" width="9.00390625" style="145" customWidth="1"/>
    <col min="2" max="4" width="12.625" style="145" customWidth="1"/>
    <col min="5" max="5" width="8.625" style="145" customWidth="1"/>
    <col min="6" max="6" width="17.625" style="145" customWidth="1"/>
    <col min="7" max="16384" width="9.00390625" style="145" customWidth="1"/>
  </cols>
  <sheetData>
    <row r="1" spans="1:6" s="10" customFormat="1" ht="14.25" customHeight="1">
      <c r="A1" s="468" t="s">
        <v>228</v>
      </c>
      <c r="B1" s="468"/>
      <c r="C1" s="468"/>
      <c r="D1" s="468"/>
      <c r="E1" s="65"/>
      <c r="F1" s="9"/>
    </row>
    <row r="2" spans="1:6" s="10" customFormat="1" ht="15" customHeight="1">
      <c r="A2" s="25"/>
      <c r="B2" s="25" t="s">
        <v>2</v>
      </c>
      <c r="C2" s="25"/>
      <c r="D2" s="25"/>
      <c r="E2" s="142">
        <f>1</f>
        <v>1</v>
      </c>
      <c r="F2" s="143">
        <f>2</f>
        <v>2</v>
      </c>
    </row>
    <row r="3" spans="1:6" s="10" customFormat="1" ht="15" customHeight="1">
      <c r="A3" s="25"/>
      <c r="B3" s="25" t="s">
        <v>86</v>
      </c>
      <c r="C3" s="25"/>
      <c r="D3" s="25"/>
      <c r="E3" s="142">
        <f>1+1+1+1+1+1+1+1+1+2</f>
        <v>11</v>
      </c>
      <c r="F3" s="143">
        <f>71+21+25+5+31+28+35+45+45+53</f>
        <v>359</v>
      </c>
    </row>
    <row r="4" spans="1:9" ht="13.5">
      <c r="A4" s="468" t="s">
        <v>245</v>
      </c>
      <c r="B4" s="468"/>
      <c r="C4" s="468"/>
      <c r="D4" s="468"/>
      <c r="E4" s="144"/>
      <c r="F4" s="144"/>
      <c r="G4" s="10"/>
      <c r="H4" s="10"/>
      <c r="I4" s="10"/>
    </row>
    <row r="5" spans="1:9" ht="13.5">
      <c r="A5" s="10"/>
      <c r="B5" s="25" t="s">
        <v>2</v>
      </c>
      <c r="C5" s="10"/>
      <c r="D5" s="10"/>
      <c r="E5" s="142">
        <f>1</f>
        <v>1</v>
      </c>
      <c r="F5" s="143">
        <f>3</f>
        <v>3</v>
      </c>
      <c r="G5" s="10"/>
      <c r="H5" s="10"/>
      <c r="I5" s="10"/>
    </row>
    <row r="6" spans="1:9" ht="13.5">
      <c r="A6" s="25"/>
      <c r="B6" s="25" t="s">
        <v>86</v>
      </c>
      <c r="C6" s="25"/>
      <c r="D6" s="25"/>
      <c r="E6" s="142">
        <f>1+1+1</f>
        <v>3</v>
      </c>
      <c r="F6" s="143">
        <f>46+53+32</f>
        <v>131</v>
      </c>
      <c r="G6" s="10"/>
      <c r="H6" s="10"/>
      <c r="I6" s="10"/>
    </row>
    <row r="7" spans="1:9" ht="13.5">
      <c r="A7" s="468" t="s">
        <v>8</v>
      </c>
      <c r="B7" s="468"/>
      <c r="C7" s="468"/>
      <c r="D7" s="468"/>
      <c r="E7" s="144"/>
      <c r="F7" s="144"/>
      <c r="G7" s="10"/>
      <c r="H7" s="10"/>
      <c r="I7" s="10"/>
    </row>
    <row r="8" spans="1:9" ht="13.5">
      <c r="A8" s="25"/>
      <c r="B8" s="25" t="s">
        <v>85</v>
      </c>
      <c r="C8" s="25"/>
      <c r="D8" s="25"/>
      <c r="E8" s="142">
        <f>1</f>
        <v>1</v>
      </c>
      <c r="F8" s="143">
        <f>58</f>
        <v>58</v>
      </c>
      <c r="G8" s="10"/>
      <c r="H8" s="10"/>
      <c r="I8" s="10"/>
    </row>
    <row r="9" spans="1:9" ht="13.5">
      <c r="A9" s="468" t="s">
        <v>11</v>
      </c>
      <c r="B9" s="468"/>
      <c r="C9" s="468"/>
      <c r="D9" s="468"/>
      <c r="E9" s="142"/>
      <c r="F9" s="143"/>
      <c r="G9" s="10"/>
      <c r="H9" s="10"/>
      <c r="I9" s="10"/>
    </row>
    <row r="10" spans="1:9" ht="13.5">
      <c r="A10" s="25"/>
      <c r="B10" s="25" t="s">
        <v>84</v>
      </c>
      <c r="C10" s="25"/>
      <c r="D10" s="25"/>
      <c r="E10" s="142">
        <f>1</f>
        <v>1</v>
      </c>
      <c r="F10" s="143">
        <f>8</f>
        <v>8</v>
      </c>
      <c r="G10" s="70"/>
      <c r="H10" s="10"/>
      <c r="I10" s="10"/>
    </row>
    <row r="11" spans="1:6" s="10" customFormat="1" ht="15" customHeight="1">
      <c r="A11" s="25"/>
      <c r="B11" s="25" t="s">
        <v>9</v>
      </c>
      <c r="C11" s="25"/>
      <c r="D11" s="25"/>
      <c r="E11" s="142">
        <f>1</f>
        <v>1</v>
      </c>
      <c r="F11" s="143">
        <f>11</f>
        <v>11</v>
      </c>
    </row>
    <row r="12" spans="1:9" ht="12" customHeight="1">
      <c r="A12" s="10"/>
      <c r="B12" s="10"/>
      <c r="C12" s="10"/>
      <c r="D12" s="10"/>
      <c r="E12" s="10"/>
      <c r="F12" s="10"/>
      <c r="G12" s="10"/>
      <c r="H12" s="10"/>
      <c r="I12" s="10"/>
    </row>
    <row r="13" spans="1:9" s="88" customFormat="1" ht="13.5">
      <c r="A13" s="10" t="s">
        <v>433</v>
      </c>
      <c r="B13" s="10"/>
      <c r="C13" s="10"/>
      <c r="D13" s="10"/>
      <c r="E13" s="69" t="s">
        <v>164</v>
      </c>
      <c r="F13" s="69" t="s">
        <v>324</v>
      </c>
      <c r="H13" s="10"/>
      <c r="I13" s="10"/>
    </row>
    <row r="14" spans="1:9" s="88" customFormat="1" ht="13.5">
      <c r="A14" s="10" t="s">
        <v>340</v>
      </c>
      <c r="B14" s="10"/>
      <c r="C14" s="10"/>
      <c r="D14" s="10"/>
      <c r="E14" s="85"/>
      <c r="F14" s="86"/>
      <c r="H14" s="10"/>
      <c r="I14" s="10"/>
    </row>
    <row r="15" spans="2:6" s="88" customFormat="1" ht="13.5">
      <c r="B15" s="88" t="s">
        <v>507</v>
      </c>
      <c r="E15" s="146">
        <v>1</v>
      </c>
      <c r="F15" s="147">
        <v>42</v>
      </c>
    </row>
    <row r="16" spans="2:6" s="88" customFormat="1" ht="13.5">
      <c r="B16" s="10" t="s">
        <v>506</v>
      </c>
      <c r="E16" s="146"/>
      <c r="F16" s="147"/>
    </row>
    <row r="17" spans="1:6" s="88" customFormat="1" ht="13.5">
      <c r="A17" s="10" t="s">
        <v>439</v>
      </c>
      <c r="E17" s="146"/>
      <c r="F17" s="147"/>
    </row>
    <row r="18" spans="2:6" s="88" customFormat="1" ht="13.5">
      <c r="B18" s="148" t="s">
        <v>504</v>
      </c>
      <c r="E18" s="146">
        <v>1</v>
      </c>
      <c r="F18" s="147">
        <v>37</v>
      </c>
    </row>
    <row r="19" s="88" customFormat="1" ht="13.5">
      <c r="B19" s="148" t="s">
        <v>508</v>
      </c>
    </row>
    <row r="20" s="88" customFormat="1" ht="13.5">
      <c r="B20" s="148" t="s">
        <v>509</v>
      </c>
    </row>
    <row r="21" s="88" customFormat="1" ht="13.5">
      <c r="B21" s="10" t="s">
        <v>505</v>
      </c>
    </row>
    <row r="22" s="88" customFormat="1" ht="12" customHeight="1">
      <c r="B22" s="10"/>
    </row>
    <row r="23" spans="1:7" ht="13.5">
      <c r="A23" s="88" t="s">
        <v>434</v>
      </c>
      <c r="B23" s="88"/>
      <c r="C23" s="88"/>
      <c r="D23" s="88"/>
      <c r="E23" s="88"/>
      <c r="F23" s="88"/>
      <c r="G23" s="88"/>
    </row>
    <row r="24" spans="2:6" s="88" customFormat="1" ht="13.5">
      <c r="B24" s="149" t="s">
        <v>380</v>
      </c>
      <c r="F24" s="150">
        <v>14</v>
      </c>
    </row>
    <row r="25" spans="2:6" s="88" customFormat="1" ht="13.5">
      <c r="B25" s="149" t="s">
        <v>381</v>
      </c>
      <c r="F25" s="150">
        <v>1</v>
      </c>
    </row>
    <row r="26" ht="12" customHeight="1"/>
    <row r="27" spans="1:9" s="153" customFormat="1" ht="13.5">
      <c r="A27" s="10" t="s">
        <v>513</v>
      </c>
      <c r="B27" s="10"/>
      <c r="C27" s="10"/>
      <c r="D27" s="10"/>
      <c r="E27" s="10"/>
      <c r="F27" s="137"/>
      <c r="G27" s="137"/>
      <c r="H27" s="137"/>
      <c r="I27" s="159"/>
    </row>
    <row r="28" spans="1:9" s="153" customFormat="1" ht="13.5">
      <c r="A28" s="10"/>
      <c r="B28" s="448" t="s">
        <v>3</v>
      </c>
      <c r="C28" s="624" t="s">
        <v>573</v>
      </c>
      <c r="D28" s="625"/>
      <c r="E28" s="624" t="s">
        <v>4</v>
      </c>
      <c r="F28" s="625"/>
      <c r="G28" s="626"/>
      <c r="H28" s="138"/>
      <c r="I28" s="159"/>
    </row>
    <row r="29" spans="1:9" s="162" customFormat="1" ht="23.25" customHeight="1">
      <c r="A29" s="160"/>
      <c r="B29" s="615" t="s">
        <v>575</v>
      </c>
      <c r="C29" s="615" t="s">
        <v>531</v>
      </c>
      <c r="D29" s="615"/>
      <c r="E29" s="618" t="s">
        <v>532</v>
      </c>
      <c r="F29" s="618"/>
      <c r="G29" s="617"/>
      <c r="H29" s="139"/>
      <c r="I29" s="161"/>
    </row>
    <row r="30" spans="1:9" s="162" customFormat="1" ht="23.25" customHeight="1">
      <c r="A30" s="160"/>
      <c r="B30" s="620"/>
      <c r="C30" s="615" t="s">
        <v>533</v>
      </c>
      <c r="D30" s="615"/>
      <c r="E30" s="618" t="s">
        <v>534</v>
      </c>
      <c r="F30" s="618"/>
      <c r="G30" s="617"/>
      <c r="H30" s="139"/>
      <c r="I30" s="161"/>
    </row>
    <row r="31" spans="1:9" s="162" customFormat="1" ht="13.5" customHeight="1">
      <c r="A31" s="160"/>
      <c r="B31" s="620"/>
      <c r="C31" s="615" t="s">
        <v>531</v>
      </c>
      <c r="D31" s="615"/>
      <c r="E31" s="618" t="s">
        <v>535</v>
      </c>
      <c r="F31" s="618"/>
      <c r="G31" s="617"/>
      <c r="H31" s="139"/>
      <c r="I31" s="161"/>
    </row>
    <row r="32" spans="1:9" s="162" customFormat="1" ht="13.5" customHeight="1">
      <c r="A32" s="160"/>
      <c r="B32" s="620"/>
      <c r="C32" s="615" t="s">
        <v>536</v>
      </c>
      <c r="D32" s="615"/>
      <c r="E32" s="618" t="s">
        <v>537</v>
      </c>
      <c r="F32" s="618"/>
      <c r="G32" s="617"/>
      <c r="H32" s="139"/>
      <c r="I32" s="161"/>
    </row>
    <row r="33" spans="2:8" s="162" customFormat="1" ht="23.25" customHeight="1">
      <c r="B33" s="620"/>
      <c r="C33" s="619" t="s">
        <v>574</v>
      </c>
      <c r="D33" s="619"/>
      <c r="E33" s="618" t="s">
        <v>538</v>
      </c>
      <c r="F33" s="618"/>
      <c r="G33" s="617"/>
      <c r="H33" s="140"/>
    </row>
    <row r="34" spans="2:8" s="161" customFormat="1" ht="23.25" customHeight="1">
      <c r="B34" s="620"/>
      <c r="C34" s="615" t="s">
        <v>539</v>
      </c>
      <c r="D34" s="615"/>
      <c r="E34" s="618" t="s">
        <v>540</v>
      </c>
      <c r="F34" s="618"/>
      <c r="G34" s="617"/>
      <c r="H34" s="140"/>
    </row>
    <row r="35" spans="2:8" s="161" customFormat="1" ht="23.25" customHeight="1">
      <c r="B35" s="620"/>
      <c r="C35" s="615" t="s">
        <v>541</v>
      </c>
      <c r="D35" s="615"/>
      <c r="E35" s="615" t="s">
        <v>542</v>
      </c>
      <c r="F35" s="615"/>
      <c r="G35" s="617"/>
      <c r="H35" s="141"/>
    </row>
    <row r="36" spans="2:8" s="162" customFormat="1" ht="23.25" customHeight="1">
      <c r="B36" s="449" t="s">
        <v>543</v>
      </c>
      <c r="C36" s="615" t="s">
        <v>544</v>
      </c>
      <c r="D36" s="616"/>
      <c r="E36" s="623" t="s">
        <v>581</v>
      </c>
      <c r="F36" s="622"/>
      <c r="G36" s="622"/>
      <c r="H36" s="140"/>
    </row>
    <row r="37" spans="1:8" s="153" customFormat="1" ht="23.25" customHeight="1">
      <c r="A37" s="162"/>
      <c r="B37" s="453" t="s">
        <v>545</v>
      </c>
      <c r="C37" s="615" t="s">
        <v>546</v>
      </c>
      <c r="D37" s="616"/>
      <c r="E37" s="618" t="s">
        <v>547</v>
      </c>
      <c r="F37" s="616"/>
      <c r="G37" s="617"/>
      <c r="H37" s="140"/>
    </row>
    <row r="38" spans="1:8" s="153" customFormat="1" ht="23.25" customHeight="1">
      <c r="A38" s="162"/>
      <c r="B38" s="449" t="s">
        <v>548</v>
      </c>
      <c r="C38" s="615" t="s">
        <v>549</v>
      </c>
      <c r="D38" s="616"/>
      <c r="E38" s="615" t="s">
        <v>550</v>
      </c>
      <c r="F38" s="616"/>
      <c r="G38" s="617"/>
      <c r="H38" s="140"/>
    </row>
    <row r="39" spans="1:8" s="153" customFormat="1" ht="23.25" customHeight="1">
      <c r="A39" s="161"/>
      <c r="B39" s="449" t="s">
        <v>551</v>
      </c>
      <c r="C39" s="615" t="s">
        <v>552</v>
      </c>
      <c r="D39" s="616"/>
      <c r="E39" s="615" t="s">
        <v>553</v>
      </c>
      <c r="F39" s="616"/>
      <c r="G39" s="617"/>
      <c r="H39" s="140"/>
    </row>
    <row r="40" spans="1:8" s="153" customFormat="1" ht="14.25" customHeight="1">
      <c r="A40" s="161"/>
      <c r="B40" s="454" t="s">
        <v>554</v>
      </c>
      <c r="C40" s="615" t="s">
        <v>555</v>
      </c>
      <c r="D40" s="616"/>
      <c r="E40" s="621" t="s">
        <v>582</v>
      </c>
      <c r="F40" s="622"/>
      <c r="G40" s="622"/>
      <c r="H40" s="141"/>
    </row>
    <row r="41" spans="1:8" s="153" customFormat="1" ht="15" customHeight="1">
      <c r="A41" s="162"/>
      <c r="B41" s="453" t="s">
        <v>583</v>
      </c>
      <c r="C41" s="619" t="s">
        <v>556</v>
      </c>
      <c r="D41" s="620"/>
      <c r="E41" s="615" t="s">
        <v>557</v>
      </c>
      <c r="F41" s="616"/>
      <c r="G41" s="617"/>
      <c r="H41" s="141"/>
    </row>
    <row r="42" spans="1:8" s="153" customFormat="1" ht="14.25" customHeight="1">
      <c r="A42" s="161"/>
      <c r="B42" s="615" t="s">
        <v>576</v>
      </c>
      <c r="C42" s="615" t="s">
        <v>558</v>
      </c>
      <c r="D42" s="616"/>
      <c r="E42" s="618" t="s">
        <v>559</v>
      </c>
      <c r="F42" s="616"/>
      <c r="G42" s="617"/>
      <c r="H42" s="141"/>
    </row>
    <row r="43" spans="1:8" s="153" customFormat="1" ht="23.25" customHeight="1">
      <c r="A43" s="161"/>
      <c r="B43" s="615"/>
      <c r="C43" s="615" t="s">
        <v>560</v>
      </c>
      <c r="D43" s="616"/>
      <c r="E43" s="615" t="s">
        <v>561</v>
      </c>
      <c r="F43" s="616"/>
      <c r="G43" s="617"/>
      <c r="H43" s="141"/>
    </row>
    <row r="44" spans="1:10" s="153" customFormat="1" ht="14.25" customHeight="1">
      <c r="A44" s="161"/>
      <c r="B44" s="615"/>
      <c r="C44" s="615" t="s">
        <v>578</v>
      </c>
      <c r="D44" s="616"/>
      <c r="E44" s="615" t="s">
        <v>577</v>
      </c>
      <c r="F44" s="615"/>
      <c r="G44" s="617"/>
      <c r="H44" s="141"/>
      <c r="J44" s="163"/>
    </row>
    <row r="45" spans="1:8" s="153" customFormat="1" ht="14.25" customHeight="1">
      <c r="A45" s="161"/>
      <c r="B45" s="453" t="s">
        <v>579</v>
      </c>
      <c r="C45" s="615" t="s">
        <v>562</v>
      </c>
      <c r="D45" s="616"/>
      <c r="E45" s="615"/>
      <c r="F45" s="615"/>
      <c r="G45" s="617"/>
      <c r="H45" s="141"/>
    </row>
    <row r="46" spans="2:8" s="162" customFormat="1" ht="14.25" customHeight="1">
      <c r="B46" s="453" t="s">
        <v>6</v>
      </c>
      <c r="C46" s="615" t="s">
        <v>563</v>
      </c>
      <c r="D46" s="616"/>
      <c r="E46" s="623" t="s">
        <v>564</v>
      </c>
      <c r="F46" s="622"/>
      <c r="G46" s="622"/>
      <c r="H46" s="140"/>
    </row>
    <row r="47" spans="1:8" s="153" customFormat="1" ht="23.25" customHeight="1">
      <c r="A47" s="162"/>
      <c r="B47" s="455" t="s">
        <v>584</v>
      </c>
      <c r="C47" s="615" t="s">
        <v>565</v>
      </c>
      <c r="D47" s="616"/>
      <c r="E47" s="618" t="s">
        <v>585</v>
      </c>
      <c r="F47" s="616"/>
      <c r="G47" s="617"/>
      <c r="H47" s="140"/>
    </row>
    <row r="48" spans="1:8" s="153" customFormat="1" ht="23.25" customHeight="1">
      <c r="A48" s="162"/>
      <c r="B48" s="453" t="s">
        <v>586</v>
      </c>
      <c r="C48" s="615" t="s">
        <v>558</v>
      </c>
      <c r="D48" s="616"/>
      <c r="E48" s="615" t="s">
        <v>587</v>
      </c>
      <c r="F48" s="616"/>
      <c r="G48" s="617"/>
      <c r="H48" s="140"/>
    </row>
    <row r="49" spans="1:8" s="153" customFormat="1" ht="23.25" customHeight="1">
      <c r="A49" s="161"/>
      <c r="B49" s="453" t="s">
        <v>566</v>
      </c>
      <c r="C49" s="615" t="s">
        <v>567</v>
      </c>
      <c r="D49" s="616"/>
      <c r="E49" s="621" t="s">
        <v>568</v>
      </c>
      <c r="F49" s="622"/>
      <c r="G49" s="622"/>
      <c r="H49" s="140"/>
    </row>
    <row r="50" spans="1:8" s="153" customFormat="1" ht="14.25" customHeight="1">
      <c r="A50" s="161"/>
      <c r="B50" s="453" t="s">
        <v>584</v>
      </c>
      <c r="C50" s="615" t="s">
        <v>569</v>
      </c>
      <c r="D50" s="616"/>
      <c r="E50" s="621" t="s">
        <v>588</v>
      </c>
      <c r="F50" s="622"/>
      <c r="G50" s="622"/>
      <c r="H50" s="141"/>
    </row>
    <row r="51" spans="1:8" s="153" customFormat="1" ht="14.25" customHeight="1">
      <c r="A51" s="162"/>
      <c r="B51" s="453" t="s">
        <v>570</v>
      </c>
      <c r="C51" s="619" t="s">
        <v>571</v>
      </c>
      <c r="D51" s="620"/>
      <c r="E51" s="615" t="s">
        <v>572</v>
      </c>
      <c r="F51" s="616"/>
      <c r="G51" s="617"/>
      <c r="H51" s="141"/>
    </row>
    <row r="52" spans="1:8" s="153" customFormat="1" ht="31.5" customHeight="1">
      <c r="A52" s="162"/>
      <c r="B52" s="453" t="s">
        <v>589</v>
      </c>
      <c r="C52" s="627" t="s">
        <v>590</v>
      </c>
      <c r="D52" s="628"/>
      <c r="E52" s="615" t="s">
        <v>591</v>
      </c>
      <c r="F52" s="616"/>
      <c r="G52" s="617"/>
      <c r="H52" s="141"/>
    </row>
  </sheetData>
  <mergeCells count="55">
    <mergeCell ref="C52:D52"/>
    <mergeCell ref="E52:G52"/>
    <mergeCell ref="A9:D9"/>
    <mergeCell ref="A4:D4"/>
    <mergeCell ref="A1:D1"/>
    <mergeCell ref="A7:D7"/>
    <mergeCell ref="E35:G35"/>
    <mergeCell ref="E39:G39"/>
    <mergeCell ref="E40:G40"/>
    <mergeCell ref="E28:G28"/>
    <mergeCell ref="E36:G36"/>
    <mergeCell ref="E37:G37"/>
    <mergeCell ref="E38:G38"/>
    <mergeCell ref="B29:B35"/>
    <mergeCell ref="E29:G29"/>
    <mergeCell ref="E30:G30"/>
    <mergeCell ref="E31:G31"/>
    <mergeCell ref="E32:G32"/>
    <mergeCell ref="E33:G33"/>
    <mergeCell ref="E34:G34"/>
    <mergeCell ref="C35:D35"/>
    <mergeCell ref="B42:B44"/>
    <mergeCell ref="C45:D45"/>
    <mergeCell ref="C38:D38"/>
    <mergeCell ref="C39:D39"/>
    <mergeCell ref="C40:D40"/>
    <mergeCell ref="C41:D41"/>
    <mergeCell ref="C36:D36"/>
    <mergeCell ref="C37:D37"/>
    <mergeCell ref="C42:D42"/>
    <mergeCell ref="C43:D43"/>
    <mergeCell ref="C44:D44"/>
    <mergeCell ref="C28:D28"/>
    <mergeCell ref="C29:D29"/>
    <mergeCell ref="C30:D30"/>
    <mergeCell ref="C31:D31"/>
    <mergeCell ref="C32:D32"/>
    <mergeCell ref="C33:D33"/>
    <mergeCell ref="C34:D34"/>
    <mergeCell ref="C46:D46"/>
    <mergeCell ref="C47:D47"/>
    <mergeCell ref="E46:G46"/>
    <mergeCell ref="E47:G47"/>
    <mergeCell ref="C48:D48"/>
    <mergeCell ref="C49:D49"/>
    <mergeCell ref="E48:G48"/>
    <mergeCell ref="E49:G49"/>
    <mergeCell ref="C50:D50"/>
    <mergeCell ref="C51:D51"/>
    <mergeCell ref="E50:G50"/>
    <mergeCell ref="E51:G51"/>
    <mergeCell ref="E41:G41"/>
    <mergeCell ref="E42:G42"/>
    <mergeCell ref="E43:G43"/>
    <mergeCell ref="E44:G45"/>
  </mergeCells>
  <printOptions/>
  <pageMargins left="0.7874015748031497" right="0.7874015748031497" top="0.1968503937007874" bottom="0.1968503937007874" header="0.5118110236220472" footer="0.5118110236220472"/>
  <pageSetup horizontalDpi="600" verticalDpi="6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A1" sqref="A1:J1"/>
    </sheetView>
  </sheetViews>
  <sheetFormatPr defaultColWidth="9.00390625" defaultRowHeight="13.5"/>
  <cols>
    <col min="1" max="1" width="3.125" style="10" customWidth="1"/>
    <col min="2" max="8" width="9.00390625" style="10" customWidth="1"/>
    <col min="9" max="9" width="20.625" style="10" customWidth="1"/>
    <col min="10" max="10" width="15.125" style="16" bestFit="1" customWidth="1"/>
    <col min="11" max="11" width="13.375" style="10" customWidth="1"/>
    <col min="12" max="12" width="11.875" style="10" bestFit="1" customWidth="1"/>
    <col min="13" max="16384" width="9.00390625" style="10" customWidth="1"/>
  </cols>
  <sheetData>
    <row r="1" spans="1:10" ht="18.75">
      <c r="A1" s="472" t="s">
        <v>370</v>
      </c>
      <c r="B1" s="472"/>
      <c r="C1" s="472"/>
      <c r="D1" s="472"/>
      <c r="E1" s="472"/>
      <c r="F1" s="472"/>
      <c r="G1" s="472"/>
      <c r="H1" s="472"/>
      <c r="I1" s="472"/>
      <c r="J1" s="472"/>
    </row>
    <row r="2" spans="1:10" ht="21.75" customHeight="1">
      <c r="A2" s="10" t="s">
        <v>53</v>
      </c>
      <c r="B2" s="468" t="s">
        <v>395</v>
      </c>
      <c r="C2" s="468"/>
      <c r="D2" s="468"/>
      <c r="E2" s="468"/>
      <c r="F2" s="468"/>
      <c r="G2" s="468"/>
      <c r="H2" s="468"/>
      <c r="I2" s="468"/>
      <c r="J2" s="62">
        <v>701923</v>
      </c>
    </row>
    <row r="3" spans="2:10" ht="21.75" customHeight="1">
      <c r="B3" s="468" t="s">
        <v>396</v>
      </c>
      <c r="C3" s="468"/>
      <c r="D3" s="468"/>
      <c r="E3" s="468"/>
      <c r="F3" s="468"/>
      <c r="G3" s="468"/>
      <c r="H3" s="468"/>
      <c r="I3" s="468"/>
      <c r="J3" s="354">
        <v>9041</v>
      </c>
    </row>
    <row r="4" spans="1:10" ht="21.75" customHeight="1">
      <c r="A4" s="10" t="s">
        <v>54</v>
      </c>
      <c r="B4" s="468" t="s">
        <v>371</v>
      </c>
      <c r="C4" s="468"/>
      <c r="D4" s="468"/>
      <c r="E4" s="468"/>
      <c r="F4" s="468"/>
      <c r="G4" s="468"/>
      <c r="H4" s="468"/>
      <c r="I4" s="468"/>
      <c r="J4" s="62">
        <f>2ページ!B42</f>
        <v>342865</v>
      </c>
    </row>
    <row r="5" spans="1:10" ht="21.75" customHeight="1">
      <c r="A5" s="10" t="s">
        <v>55</v>
      </c>
      <c r="B5" s="468" t="s">
        <v>372</v>
      </c>
      <c r="C5" s="468"/>
      <c r="D5" s="468"/>
      <c r="E5" s="468"/>
      <c r="F5" s="468"/>
      <c r="G5" s="468"/>
      <c r="H5" s="468"/>
      <c r="I5" s="468"/>
      <c r="J5" s="62">
        <f>2ページ!E42</f>
        <v>67601</v>
      </c>
    </row>
    <row r="6" spans="1:10" ht="21.75" customHeight="1">
      <c r="A6" s="10" t="s">
        <v>56</v>
      </c>
      <c r="B6" s="468" t="s">
        <v>57</v>
      </c>
      <c r="C6" s="468"/>
      <c r="D6" s="468"/>
      <c r="E6" s="468"/>
      <c r="F6" s="468"/>
      <c r="G6" s="468"/>
      <c r="H6" s="468"/>
      <c r="I6" s="468"/>
      <c r="J6" s="355">
        <f>2ページ!J18</f>
        <v>4382602</v>
      </c>
    </row>
    <row r="7" spans="1:10" ht="21.75" customHeight="1">
      <c r="A7" s="10" t="s">
        <v>58</v>
      </c>
      <c r="B7" s="468" t="s">
        <v>208</v>
      </c>
      <c r="C7" s="468"/>
      <c r="D7" s="468"/>
      <c r="E7" s="468"/>
      <c r="F7" s="468"/>
      <c r="G7" s="468"/>
      <c r="H7" s="468"/>
      <c r="I7" s="468"/>
      <c r="J7" s="355">
        <f>2ページ!J18-2ページ!H18</f>
        <v>4059108</v>
      </c>
    </row>
    <row r="8" spans="1:10" ht="21.75" customHeight="1">
      <c r="A8" s="10" t="s">
        <v>59</v>
      </c>
      <c r="B8" s="468" t="s">
        <v>325</v>
      </c>
      <c r="C8" s="468"/>
      <c r="D8" s="468"/>
      <c r="E8" s="468"/>
      <c r="F8" s="468"/>
      <c r="G8" s="468"/>
      <c r="H8" s="468"/>
      <c r="I8" s="468"/>
      <c r="J8" s="355">
        <f>2ページ!J18-2ページ!J16</f>
        <v>4264233</v>
      </c>
    </row>
    <row r="9" spans="1:10" ht="21.75" customHeight="1">
      <c r="A9" s="10" t="s">
        <v>60</v>
      </c>
      <c r="B9" s="468" t="s">
        <v>180</v>
      </c>
      <c r="C9" s="468"/>
      <c r="D9" s="468"/>
      <c r="E9" s="468"/>
      <c r="F9" s="468"/>
      <c r="G9" s="468"/>
      <c r="H9" s="468"/>
      <c r="I9" s="468"/>
      <c r="J9" s="356">
        <f>8ページ!D29</f>
        <v>1556680</v>
      </c>
    </row>
    <row r="10" spans="1:10" ht="21.75" customHeight="1">
      <c r="A10" s="10" t="s">
        <v>61</v>
      </c>
      <c r="B10" s="468" t="s">
        <v>181</v>
      </c>
      <c r="C10" s="468"/>
      <c r="D10" s="468"/>
      <c r="E10" s="468"/>
      <c r="F10" s="468"/>
      <c r="G10" s="468"/>
      <c r="H10" s="468"/>
      <c r="I10" s="468"/>
      <c r="J10" s="356">
        <f>8ページ!D15</f>
        <v>67055</v>
      </c>
    </row>
    <row r="11" spans="1:10" ht="21.75" customHeight="1">
      <c r="A11" s="10" t="s">
        <v>62</v>
      </c>
      <c r="B11" s="468" t="s">
        <v>373</v>
      </c>
      <c r="C11" s="468"/>
      <c r="D11" s="468"/>
      <c r="E11" s="468"/>
      <c r="F11" s="468"/>
      <c r="G11" s="468"/>
      <c r="H11" s="468"/>
      <c r="I11" s="468"/>
      <c r="J11" s="357">
        <v>557422000</v>
      </c>
    </row>
    <row r="12" spans="1:10" ht="21.75" customHeight="1">
      <c r="A12" s="10" t="s">
        <v>382</v>
      </c>
      <c r="B12" s="468" t="s">
        <v>374</v>
      </c>
      <c r="C12" s="468"/>
      <c r="D12" s="468"/>
      <c r="E12" s="468"/>
      <c r="F12" s="468"/>
      <c r="G12" s="468"/>
      <c r="H12" s="468"/>
      <c r="I12" s="468"/>
      <c r="J12" s="358">
        <v>116000000</v>
      </c>
    </row>
    <row r="13" spans="2:10" ht="21.75" customHeight="1">
      <c r="B13" s="411" t="s">
        <v>510</v>
      </c>
      <c r="C13" s="25"/>
      <c r="D13" s="25"/>
      <c r="E13" s="25"/>
      <c r="F13" s="25"/>
      <c r="G13" s="25"/>
      <c r="H13" s="25"/>
      <c r="I13" s="25"/>
      <c r="J13" s="10"/>
    </row>
    <row r="14" spans="2:10" ht="17.25" customHeight="1">
      <c r="B14" s="466" t="s">
        <v>511</v>
      </c>
      <c r="C14" s="466"/>
      <c r="D14" s="466"/>
      <c r="E14" s="466"/>
      <c r="F14" s="466"/>
      <c r="G14" s="466"/>
      <c r="H14" s="466"/>
      <c r="I14" s="466"/>
      <c r="J14" s="10"/>
    </row>
    <row r="15" spans="1:10" ht="21.75" customHeight="1">
      <c r="A15" s="10" t="s">
        <v>63</v>
      </c>
      <c r="B15" s="468" t="s">
        <v>375</v>
      </c>
      <c r="C15" s="468"/>
      <c r="D15" s="468"/>
      <c r="E15" s="468"/>
      <c r="F15" s="468"/>
      <c r="G15" s="468"/>
      <c r="H15" s="468"/>
      <c r="I15" s="468"/>
      <c r="J15" s="358">
        <v>92661000</v>
      </c>
    </row>
    <row r="16" spans="2:10" ht="18" customHeight="1">
      <c r="B16" s="467" t="s">
        <v>512</v>
      </c>
      <c r="C16" s="467"/>
      <c r="D16" s="467"/>
      <c r="E16" s="467"/>
      <c r="F16" s="467"/>
      <c r="G16" s="467"/>
      <c r="H16" s="467"/>
      <c r="I16" s="467"/>
      <c r="J16" s="10"/>
    </row>
    <row r="17" spans="1:10" ht="21.75" customHeight="1">
      <c r="A17" s="10" t="s">
        <v>64</v>
      </c>
      <c r="B17" s="468" t="s">
        <v>182</v>
      </c>
      <c r="C17" s="468"/>
      <c r="D17" s="468"/>
      <c r="E17" s="468"/>
      <c r="F17" s="468"/>
      <c r="G17" s="468"/>
      <c r="H17" s="468"/>
      <c r="I17" s="468"/>
      <c r="J17" s="358">
        <f>J15/J10</f>
        <v>1381.8656326895832</v>
      </c>
    </row>
    <row r="18" spans="1:10" ht="21.75" customHeight="1">
      <c r="A18" s="10" t="s">
        <v>65</v>
      </c>
      <c r="B18" s="10" t="s">
        <v>183</v>
      </c>
      <c r="C18" s="10" t="s">
        <v>397</v>
      </c>
      <c r="J18" s="62">
        <f>35+15+3+2+2+3+3+3+5</f>
        <v>71</v>
      </c>
    </row>
    <row r="19" spans="3:10" s="359" customFormat="1" ht="15" customHeight="1">
      <c r="C19" s="63" t="s">
        <v>400</v>
      </c>
      <c r="D19" s="63"/>
      <c r="E19" s="63"/>
      <c r="F19" s="63"/>
      <c r="G19" s="63"/>
      <c r="H19" s="63"/>
      <c r="I19" s="63"/>
      <c r="J19" s="63"/>
    </row>
    <row r="20" spans="3:10" s="359" customFormat="1" ht="15" customHeight="1">
      <c r="C20" s="470" t="s">
        <v>401</v>
      </c>
      <c r="D20" s="470"/>
      <c r="E20" s="470"/>
      <c r="F20" s="470"/>
      <c r="G20" s="470"/>
      <c r="H20" s="470"/>
      <c r="I20" s="470"/>
      <c r="J20" s="360"/>
    </row>
    <row r="21" spans="3:10" s="359" customFormat="1" ht="2.25" customHeight="1">
      <c r="C21" s="470"/>
      <c r="D21" s="470"/>
      <c r="E21" s="470"/>
      <c r="F21" s="470"/>
      <c r="G21" s="470"/>
      <c r="H21" s="470"/>
      <c r="I21" s="470"/>
      <c r="J21" s="360"/>
    </row>
    <row r="22" spans="3:10" s="359" customFormat="1" ht="15" customHeight="1">
      <c r="C22" s="469" t="s">
        <v>326</v>
      </c>
      <c r="D22" s="469"/>
      <c r="E22" s="469"/>
      <c r="F22" s="469"/>
      <c r="G22" s="469"/>
      <c r="H22" s="469"/>
      <c r="I22" s="469"/>
      <c r="J22" s="360"/>
    </row>
    <row r="23" spans="1:10" ht="21.75" customHeight="1">
      <c r="A23" s="10" t="s">
        <v>402</v>
      </c>
      <c r="B23" s="468" t="s">
        <v>398</v>
      </c>
      <c r="C23" s="468"/>
      <c r="D23" s="468"/>
      <c r="E23" s="468"/>
      <c r="F23" s="468"/>
      <c r="G23" s="468"/>
      <c r="H23" s="468"/>
      <c r="I23" s="468"/>
      <c r="J23" s="20">
        <f>21+8+2+2</f>
        <v>33</v>
      </c>
    </row>
    <row r="24" spans="3:10" ht="1.5" customHeight="1">
      <c r="C24" s="471" t="s">
        <v>399</v>
      </c>
      <c r="D24" s="471"/>
      <c r="E24" s="471"/>
      <c r="F24" s="471"/>
      <c r="G24" s="471"/>
      <c r="H24" s="471"/>
      <c r="I24" s="471"/>
      <c r="J24" s="137"/>
    </row>
    <row r="25" spans="3:10" ht="15" customHeight="1">
      <c r="C25" s="471"/>
      <c r="D25" s="471"/>
      <c r="E25" s="471"/>
      <c r="F25" s="471"/>
      <c r="G25" s="471"/>
      <c r="H25" s="471"/>
      <c r="I25" s="471"/>
      <c r="J25" s="137"/>
    </row>
    <row r="26" spans="1:10" ht="21.75" customHeight="1">
      <c r="A26" s="10">
        <v>1</v>
      </c>
      <c r="B26" s="468" t="s">
        <v>248</v>
      </c>
      <c r="C26" s="468"/>
      <c r="D26" s="468"/>
      <c r="E26" s="468"/>
      <c r="F26" s="468"/>
      <c r="G26" s="468"/>
      <c r="H26" s="468"/>
      <c r="I26" s="468"/>
      <c r="J26" s="361">
        <f>J6/J2</f>
        <v>6.243707643146043</v>
      </c>
    </row>
    <row r="27" spans="1:10" ht="21.75" customHeight="1">
      <c r="A27" s="10">
        <v>2</v>
      </c>
      <c r="B27" s="468" t="s">
        <v>249</v>
      </c>
      <c r="C27" s="468"/>
      <c r="D27" s="468"/>
      <c r="E27" s="468"/>
      <c r="F27" s="468"/>
      <c r="G27" s="468"/>
      <c r="H27" s="468"/>
      <c r="I27" s="468"/>
      <c r="J27" s="357">
        <f>J11/J2</f>
        <v>794.1355390833468</v>
      </c>
    </row>
    <row r="28" spans="1:10" ht="21.75" customHeight="1">
      <c r="A28" s="10">
        <v>3</v>
      </c>
      <c r="B28" s="468" t="s">
        <v>250</v>
      </c>
      <c r="C28" s="468"/>
      <c r="D28" s="468"/>
      <c r="E28" s="468"/>
      <c r="F28" s="468"/>
      <c r="G28" s="468"/>
      <c r="H28" s="468"/>
      <c r="I28" s="468"/>
      <c r="J28" s="357">
        <f>J12/J2</f>
        <v>165.26029208331968</v>
      </c>
    </row>
    <row r="29" spans="1:10" ht="21.75" customHeight="1">
      <c r="A29" s="10">
        <v>4</v>
      </c>
      <c r="B29" s="468" t="s">
        <v>251</v>
      </c>
      <c r="C29" s="468"/>
      <c r="D29" s="468"/>
      <c r="E29" s="468"/>
      <c r="F29" s="468"/>
      <c r="G29" s="468"/>
      <c r="H29" s="468"/>
      <c r="I29" s="468"/>
      <c r="J29" s="362">
        <f>J9/J2</f>
        <v>2.217736133450535</v>
      </c>
    </row>
    <row r="30" spans="1:10" ht="21.75" customHeight="1">
      <c r="A30" s="10">
        <v>5</v>
      </c>
      <c r="B30" s="468" t="s">
        <v>252</v>
      </c>
      <c r="C30" s="468"/>
      <c r="D30" s="468"/>
      <c r="E30" s="468"/>
      <c r="F30" s="468"/>
      <c r="G30" s="468"/>
      <c r="H30" s="468"/>
      <c r="I30" s="468"/>
      <c r="J30" s="362">
        <f>J10/J2</f>
        <v>0.09553042142799138</v>
      </c>
    </row>
    <row r="31" spans="1:10" ht="21.75" customHeight="1">
      <c r="A31" s="10">
        <v>6</v>
      </c>
      <c r="B31" s="10" t="s">
        <v>295</v>
      </c>
      <c r="C31" s="25"/>
      <c r="D31" s="25"/>
      <c r="E31" s="25"/>
      <c r="F31" s="25"/>
      <c r="G31" s="25"/>
      <c r="H31" s="25"/>
      <c r="I31" s="25"/>
      <c r="J31" s="363">
        <f>J4/J2</f>
        <v>0.4884652590098914</v>
      </c>
    </row>
    <row r="32" spans="1:10" ht="21.75" customHeight="1">
      <c r="A32" s="10">
        <v>7</v>
      </c>
      <c r="B32" s="25" t="s">
        <v>253</v>
      </c>
      <c r="C32" s="25"/>
      <c r="D32" s="25"/>
      <c r="E32" s="25"/>
      <c r="F32" s="25"/>
      <c r="G32" s="25"/>
      <c r="H32" s="25"/>
      <c r="I32" s="25"/>
      <c r="J32" s="364">
        <f>J5/J2</f>
        <v>0.0963082845269353</v>
      </c>
    </row>
    <row r="33" spans="1:10" ht="21.75" customHeight="1">
      <c r="A33" s="10">
        <v>8</v>
      </c>
      <c r="B33" s="10" t="s">
        <v>254</v>
      </c>
      <c r="J33" s="365">
        <f>J6/J9</f>
        <v>2.815351902767428</v>
      </c>
    </row>
    <row r="34" spans="1:10" ht="21.75" customHeight="1">
      <c r="A34" s="10">
        <v>9</v>
      </c>
      <c r="B34" s="10" t="s">
        <v>255</v>
      </c>
      <c r="J34" s="366">
        <f>J6/J5</f>
        <v>64.83043150249257</v>
      </c>
    </row>
    <row r="35" spans="1:10" ht="21.75" customHeight="1">
      <c r="A35" s="10">
        <v>10</v>
      </c>
      <c r="B35" s="10" t="s">
        <v>256</v>
      </c>
      <c r="J35" s="20">
        <f>J2/J18</f>
        <v>9886.239436619719</v>
      </c>
    </row>
    <row r="36" spans="1:10" ht="21.75" customHeight="1">
      <c r="A36" s="10">
        <v>11</v>
      </c>
      <c r="B36" s="10" t="s">
        <v>257</v>
      </c>
      <c r="J36" s="367">
        <f>J6/J18</f>
        <v>61726.788732394365</v>
      </c>
    </row>
    <row r="37" spans="1:10" ht="21.75" customHeight="1">
      <c r="A37" s="10">
        <v>12</v>
      </c>
      <c r="B37" s="10" t="s">
        <v>264</v>
      </c>
      <c r="J37" s="367">
        <f>J6/J23</f>
        <v>132806.12121212122</v>
      </c>
    </row>
    <row r="38" spans="1:10" ht="21.75" customHeight="1">
      <c r="A38" s="10">
        <v>13</v>
      </c>
      <c r="B38" s="10" t="s">
        <v>258</v>
      </c>
      <c r="J38" s="357">
        <f>J11/J6</f>
        <v>127.18973796844888</v>
      </c>
    </row>
    <row r="39" spans="1:10" ht="21.75" customHeight="1">
      <c r="A39" s="10">
        <v>14</v>
      </c>
      <c r="B39" s="10" t="s">
        <v>259</v>
      </c>
      <c r="J39" s="368">
        <f>J17*J6/J11</f>
        <v>10.864600043695141</v>
      </c>
    </row>
  </sheetData>
  <mergeCells count="25">
    <mergeCell ref="B6:I6"/>
    <mergeCell ref="B7:I7"/>
    <mergeCell ref="B8:I8"/>
    <mergeCell ref="B10:I10"/>
    <mergeCell ref="A1:J1"/>
    <mergeCell ref="B2:I2"/>
    <mergeCell ref="B3:I3"/>
    <mergeCell ref="B5:I5"/>
    <mergeCell ref="B30:I30"/>
    <mergeCell ref="B23:I23"/>
    <mergeCell ref="B26:I26"/>
    <mergeCell ref="B27:I27"/>
    <mergeCell ref="B28:I28"/>
    <mergeCell ref="B29:I29"/>
    <mergeCell ref="C24:I25"/>
    <mergeCell ref="B14:I14"/>
    <mergeCell ref="B16:I16"/>
    <mergeCell ref="B4:I4"/>
    <mergeCell ref="C22:I22"/>
    <mergeCell ref="B11:I11"/>
    <mergeCell ref="B12:I12"/>
    <mergeCell ref="B15:I15"/>
    <mergeCell ref="B17:I17"/>
    <mergeCell ref="B9:I9"/>
    <mergeCell ref="C20:I21"/>
  </mergeCells>
  <printOptions/>
  <pageMargins left="0.5905511811023623" right="0.5905511811023623" top="0.5905511811023623" bottom="0.5905511811023623" header="0.5118110236220472" footer="0.5118110236220472"/>
  <pageSetup horizontalDpi="600" verticalDpi="600" orientation="portrait" paperSize="9" scale="8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J46"/>
  <sheetViews>
    <sheetView workbookViewId="0" topLeftCell="A1">
      <selection activeCell="A1" sqref="A1:J1"/>
    </sheetView>
  </sheetViews>
  <sheetFormatPr defaultColWidth="9.00390625" defaultRowHeight="13.5"/>
  <cols>
    <col min="1" max="1" width="10.50390625" style="16" customWidth="1"/>
    <col min="2" max="2" width="8.625" style="16" customWidth="1"/>
    <col min="3" max="9" width="9.50390625" style="16" customWidth="1"/>
    <col min="10" max="10" width="9.375" style="16" customWidth="1"/>
    <col min="11" max="16384" width="9.00390625" style="16" customWidth="1"/>
  </cols>
  <sheetData>
    <row r="1" spans="1:10" ht="15" customHeight="1">
      <c r="A1" s="435" t="s">
        <v>262</v>
      </c>
      <c r="B1" s="435"/>
      <c r="C1" s="435"/>
      <c r="D1" s="435"/>
      <c r="E1" s="435"/>
      <c r="F1" s="435"/>
      <c r="G1" s="435"/>
      <c r="H1" s="435"/>
      <c r="I1" s="435"/>
      <c r="J1" s="435"/>
    </row>
    <row r="2" spans="1:9" ht="15" customHeight="1">
      <c r="A2" s="19" t="s">
        <v>327</v>
      </c>
      <c r="C2" s="19"/>
      <c r="D2" s="19"/>
      <c r="E2" s="19"/>
      <c r="F2" s="19"/>
      <c r="G2" s="19"/>
      <c r="H2" s="19"/>
      <c r="I2" s="19"/>
    </row>
    <row r="3" spans="1:10" ht="19.5" customHeight="1">
      <c r="A3" s="436"/>
      <c r="B3" s="421" t="s">
        <v>100</v>
      </c>
      <c r="C3" s="423" t="s">
        <v>101</v>
      </c>
      <c r="D3" s="424"/>
      <c r="E3" s="425"/>
      <c r="F3" s="426" t="s">
        <v>104</v>
      </c>
      <c r="G3" s="419"/>
      <c r="H3" s="419"/>
      <c r="I3" s="419"/>
      <c r="J3" s="423"/>
    </row>
    <row r="4" spans="1:10" s="17" customFormat="1" ht="19.5" customHeight="1" thickBot="1">
      <c r="A4" s="437"/>
      <c r="B4" s="422"/>
      <c r="C4" s="71" t="s">
        <v>102</v>
      </c>
      <c r="D4" s="72" t="s">
        <v>103</v>
      </c>
      <c r="E4" s="28" t="s">
        <v>99</v>
      </c>
      <c r="F4" s="29" t="s">
        <v>102</v>
      </c>
      <c r="G4" s="30" t="s">
        <v>103</v>
      </c>
      <c r="H4" s="26" t="s">
        <v>272</v>
      </c>
      <c r="I4" s="27" t="s">
        <v>201</v>
      </c>
      <c r="J4" s="31" t="s">
        <v>99</v>
      </c>
    </row>
    <row r="5" spans="1:10" ht="19.5" customHeight="1" thickTop="1">
      <c r="A5" s="227" t="s">
        <v>92</v>
      </c>
      <c r="B5" s="304">
        <v>279</v>
      </c>
      <c r="C5" s="305">
        <v>184987</v>
      </c>
      <c r="D5" s="230">
        <v>11625</v>
      </c>
      <c r="E5" s="182">
        <f>SUM(C5:D5)</f>
        <v>196612</v>
      </c>
      <c r="F5" s="306">
        <f>945006+115651+43+1</f>
        <v>1060701</v>
      </c>
      <c r="G5" s="183">
        <f>320939+2075</f>
        <v>323014</v>
      </c>
      <c r="H5" s="182">
        <v>36484</v>
      </c>
      <c r="I5" s="307">
        <f>411+B21</f>
        <v>1050</v>
      </c>
      <c r="J5" s="229">
        <f>SUM(F5:I5)</f>
        <v>1421249</v>
      </c>
    </row>
    <row r="6" spans="1:10" ht="19.5" customHeight="1">
      <c r="A6" s="231" t="s">
        <v>93</v>
      </c>
      <c r="B6" s="308">
        <v>277</v>
      </c>
      <c r="C6" s="309">
        <v>232632</v>
      </c>
      <c r="D6" s="232">
        <v>15271</v>
      </c>
      <c r="E6" s="182">
        <f aca="true" t="shared" si="0" ref="E6:E17">SUM(C6:D6)</f>
        <v>247903</v>
      </c>
      <c r="F6" s="306">
        <f>600872+80573+48+13</f>
        <v>681506</v>
      </c>
      <c r="G6" s="200">
        <f>210768+3647+1</f>
        <v>214416</v>
      </c>
      <c r="H6" s="182">
        <f>250213</f>
        <v>250213</v>
      </c>
      <c r="I6" s="310">
        <f>696</f>
        <v>696</v>
      </c>
      <c r="J6" s="229">
        <f aca="true" t="shared" si="1" ref="J6:J13">SUM(F6:I6)</f>
        <v>1146831</v>
      </c>
    </row>
    <row r="7" spans="1:10" ht="19.5" customHeight="1">
      <c r="A7" s="231" t="s">
        <v>95</v>
      </c>
      <c r="B7" s="308">
        <v>275</v>
      </c>
      <c r="C7" s="309">
        <v>45580</v>
      </c>
      <c r="D7" s="232">
        <v>3004</v>
      </c>
      <c r="E7" s="182">
        <f t="shared" si="0"/>
        <v>48584</v>
      </c>
      <c r="F7" s="306">
        <f>178685+28921</f>
        <v>207606</v>
      </c>
      <c r="G7" s="200">
        <f>112716+964</f>
        <v>113680</v>
      </c>
      <c r="H7" s="182">
        <f>5452</f>
        <v>5452</v>
      </c>
      <c r="I7" s="310">
        <f>80</f>
        <v>80</v>
      </c>
      <c r="J7" s="229">
        <f t="shared" si="1"/>
        <v>326818</v>
      </c>
    </row>
    <row r="8" spans="1:10" ht="19.5" customHeight="1">
      <c r="A8" s="231" t="s">
        <v>97</v>
      </c>
      <c r="B8" s="308">
        <v>287</v>
      </c>
      <c r="C8" s="309">
        <f>202+3345</f>
        <v>3547</v>
      </c>
      <c r="D8" s="232">
        <f>7+865</f>
        <v>872</v>
      </c>
      <c r="E8" s="192">
        <f>SUM(C8:D8)</f>
        <v>4419</v>
      </c>
      <c r="F8" s="210">
        <f>364+7+9636</f>
        <v>10007</v>
      </c>
      <c r="G8" s="190">
        <f>44+3460</f>
        <v>3504</v>
      </c>
      <c r="H8" s="191">
        <f>0</f>
        <v>0</v>
      </c>
      <c r="I8" s="310">
        <v>0</v>
      </c>
      <c r="J8" s="229">
        <f>SUM(F8:I8)</f>
        <v>13511</v>
      </c>
    </row>
    <row r="9" spans="1:10" ht="19.5" customHeight="1">
      <c r="A9" s="231" t="s">
        <v>96</v>
      </c>
      <c r="B9" s="308">
        <v>230</v>
      </c>
      <c r="C9" s="309">
        <v>43618</v>
      </c>
      <c r="D9" s="232">
        <v>6770</v>
      </c>
      <c r="E9" s="182">
        <f t="shared" si="0"/>
        <v>50388</v>
      </c>
      <c r="F9" s="306">
        <f>139060+26298</f>
        <v>165358</v>
      </c>
      <c r="G9" s="200">
        <f>104956+270</f>
        <v>105226</v>
      </c>
      <c r="H9" s="182">
        <f>255</f>
        <v>255</v>
      </c>
      <c r="I9" s="310">
        <f>165</f>
        <v>165</v>
      </c>
      <c r="J9" s="229">
        <f t="shared" si="1"/>
        <v>271004</v>
      </c>
    </row>
    <row r="10" spans="1:10" ht="19.5" customHeight="1">
      <c r="A10" s="231" t="s">
        <v>491</v>
      </c>
      <c r="B10" s="308">
        <v>274</v>
      </c>
      <c r="C10" s="309">
        <f>5046+19</f>
        <v>5065</v>
      </c>
      <c r="D10" s="232">
        <v>280</v>
      </c>
      <c r="E10" s="311">
        <f>SUM(C10:D10)</f>
        <v>5345</v>
      </c>
      <c r="F10" s="306">
        <f>13694+2043+38</f>
        <v>15775</v>
      </c>
      <c r="G10" s="190">
        <f>6094</f>
        <v>6094</v>
      </c>
      <c r="H10" s="182">
        <f>475</f>
        <v>475</v>
      </c>
      <c r="I10" s="236">
        <f>29</f>
        <v>29</v>
      </c>
      <c r="J10" s="239">
        <f>SUM(F10:I10)</f>
        <v>22373</v>
      </c>
    </row>
    <row r="11" spans="1:10" ht="19.5" customHeight="1">
      <c r="A11" s="231" t="s">
        <v>199</v>
      </c>
      <c r="B11" s="308">
        <v>275</v>
      </c>
      <c r="C11" s="309">
        <v>11044</v>
      </c>
      <c r="D11" s="232">
        <v>1795</v>
      </c>
      <c r="E11" s="311">
        <f t="shared" si="0"/>
        <v>12839</v>
      </c>
      <c r="F11" s="306">
        <f>34074+5460</f>
        <v>39534</v>
      </c>
      <c r="G11" s="190">
        <f>28563</f>
        <v>28563</v>
      </c>
      <c r="H11" s="182">
        <f>2361</f>
        <v>2361</v>
      </c>
      <c r="I11" s="232">
        <f>61</f>
        <v>61</v>
      </c>
      <c r="J11" s="252">
        <f t="shared" si="1"/>
        <v>70519</v>
      </c>
    </row>
    <row r="12" spans="1:10" ht="19.5" customHeight="1">
      <c r="A12" s="231" t="s">
        <v>210</v>
      </c>
      <c r="B12" s="308">
        <v>275</v>
      </c>
      <c r="C12" s="309">
        <v>20195</v>
      </c>
      <c r="D12" s="232">
        <v>2495</v>
      </c>
      <c r="E12" s="311">
        <f>SUM(C12:D12)</f>
        <v>22690</v>
      </c>
      <c r="F12" s="306">
        <f>57218+9333</f>
        <v>66551</v>
      </c>
      <c r="G12" s="190">
        <f>38118+43</f>
        <v>38161</v>
      </c>
      <c r="H12" s="182">
        <f>2457</f>
        <v>2457</v>
      </c>
      <c r="I12" s="232">
        <f>71</f>
        <v>71</v>
      </c>
      <c r="J12" s="239">
        <f>SUM(F12:I12)</f>
        <v>107240</v>
      </c>
    </row>
    <row r="13" spans="1:10" ht="19.5" customHeight="1">
      <c r="A13" s="231" t="s">
        <v>200</v>
      </c>
      <c r="B13" s="308">
        <v>274</v>
      </c>
      <c r="C13" s="309">
        <v>28406</v>
      </c>
      <c r="D13" s="232">
        <v>2025</v>
      </c>
      <c r="E13" s="311">
        <f t="shared" si="0"/>
        <v>30431</v>
      </c>
      <c r="F13" s="306">
        <f>95342+12472</f>
        <v>107814</v>
      </c>
      <c r="G13" s="190">
        <f>65320+389</f>
        <v>65709</v>
      </c>
      <c r="H13" s="182">
        <f>5292</f>
        <v>5292</v>
      </c>
      <c r="I13" s="232">
        <f>19</f>
        <v>19</v>
      </c>
      <c r="J13" s="239">
        <f t="shared" si="1"/>
        <v>178834</v>
      </c>
    </row>
    <row r="14" spans="1:10" ht="19.5" customHeight="1">
      <c r="A14" s="231" t="s">
        <v>81</v>
      </c>
      <c r="B14" s="124" t="s">
        <v>273</v>
      </c>
      <c r="C14" s="309">
        <f>14402-409</f>
        <v>13993</v>
      </c>
      <c r="D14" s="232">
        <f>4500-3</f>
        <v>4497</v>
      </c>
      <c r="E14" s="182">
        <f t="shared" si="0"/>
        <v>18490</v>
      </c>
      <c r="F14" s="306">
        <f>59149+2722+36-1824</f>
        <v>60083</v>
      </c>
      <c r="G14" s="190">
        <f>44757+95+1-283</f>
        <v>44570</v>
      </c>
      <c r="H14" s="182">
        <v>145</v>
      </c>
      <c r="I14" s="232">
        <f>2</f>
        <v>2</v>
      </c>
      <c r="J14" s="239">
        <f>SUM(F14:I14)</f>
        <v>104800</v>
      </c>
    </row>
    <row r="15" spans="1:10" ht="19.5" customHeight="1">
      <c r="A15" s="231" t="s">
        <v>312</v>
      </c>
      <c r="B15" s="312">
        <v>280</v>
      </c>
      <c r="C15" s="309">
        <v>88791</v>
      </c>
      <c r="D15" s="232">
        <v>6361</v>
      </c>
      <c r="E15" s="182">
        <f>SUM(C15:D15)</f>
        <v>95152</v>
      </c>
      <c r="F15" s="306">
        <f>345230+46846+4</f>
        <v>392080</v>
      </c>
      <c r="G15" s="200">
        <f>184827+473</f>
        <v>185300</v>
      </c>
      <c r="H15" s="182">
        <v>20358</v>
      </c>
      <c r="I15" s="310">
        <f>391</f>
        <v>391</v>
      </c>
      <c r="J15" s="229">
        <f>SUM(F15:I15)</f>
        <v>598129</v>
      </c>
    </row>
    <row r="16" spans="1:10" ht="19.5" customHeight="1">
      <c r="A16" s="231" t="s">
        <v>98</v>
      </c>
      <c r="B16" s="124" t="s">
        <v>274</v>
      </c>
      <c r="C16" s="306">
        <v>28152</v>
      </c>
      <c r="D16" s="310">
        <v>10273</v>
      </c>
      <c r="E16" s="182">
        <f>SUM(C16:D16)</f>
        <v>38425</v>
      </c>
      <c r="F16" s="306">
        <v>79533</v>
      </c>
      <c r="G16" s="190">
        <v>38836</v>
      </c>
      <c r="H16" s="182">
        <f>3ページ!K15</f>
        <v>0</v>
      </c>
      <c r="I16" s="236"/>
      <c r="J16" s="237">
        <f>SUM(F16:I16)</f>
        <v>118369</v>
      </c>
    </row>
    <row r="17" spans="1:10" ht="19.5" customHeight="1" thickBot="1">
      <c r="A17" s="313" t="s">
        <v>393</v>
      </c>
      <c r="B17" s="314" t="s">
        <v>274</v>
      </c>
      <c r="C17" s="315">
        <v>2059</v>
      </c>
      <c r="D17" s="241">
        <v>23</v>
      </c>
      <c r="E17" s="316">
        <f t="shared" si="0"/>
        <v>2082</v>
      </c>
      <c r="F17" s="315">
        <v>2367</v>
      </c>
      <c r="G17" s="317">
        <v>556</v>
      </c>
      <c r="H17" s="317">
        <v>2</v>
      </c>
      <c r="I17" s="317">
        <v>0</v>
      </c>
      <c r="J17" s="318">
        <f>SUM(F17:I17)</f>
        <v>2925</v>
      </c>
    </row>
    <row r="18" spans="1:10" ht="19.5" customHeight="1" thickTop="1">
      <c r="A18" s="227" t="s">
        <v>99</v>
      </c>
      <c r="B18" s="319" t="s">
        <v>275</v>
      </c>
      <c r="C18" s="182">
        <f aca="true" t="shared" si="2" ref="C18:J18">SUM(C5:C17)</f>
        <v>708069</v>
      </c>
      <c r="D18" s="310">
        <f t="shared" si="2"/>
        <v>65291</v>
      </c>
      <c r="E18" s="204">
        <f t="shared" si="2"/>
        <v>773360</v>
      </c>
      <c r="F18" s="182">
        <f t="shared" si="2"/>
        <v>2888915</v>
      </c>
      <c r="G18" s="200">
        <f t="shared" si="2"/>
        <v>1167629</v>
      </c>
      <c r="H18" s="182">
        <f t="shared" si="2"/>
        <v>323494</v>
      </c>
      <c r="I18" s="310">
        <f t="shared" si="2"/>
        <v>2564</v>
      </c>
      <c r="J18" s="132">
        <f t="shared" si="2"/>
        <v>4382602</v>
      </c>
    </row>
    <row r="19" spans="1:10" ht="13.5" customHeight="1">
      <c r="A19" s="320" t="s">
        <v>51</v>
      </c>
      <c r="B19" s="320"/>
      <c r="C19" s="320"/>
      <c r="D19" s="321">
        <f>399246/279</f>
        <v>1430.989247311828</v>
      </c>
      <c r="E19" s="320"/>
      <c r="F19" s="19" t="s">
        <v>347</v>
      </c>
      <c r="G19" s="322"/>
      <c r="H19" s="322"/>
      <c r="I19" s="257"/>
      <c r="J19" s="321">
        <f>204757/280</f>
        <v>731.275</v>
      </c>
    </row>
    <row r="20" spans="1:9" ht="13.5">
      <c r="A20" s="323" t="s">
        <v>328</v>
      </c>
      <c r="B20" s="323"/>
      <c r="C20" s="323"/>
      <c r="D20" s="323"/>
      <c r="E20" s="323"/>
      <c r="F20" s="323"/>
      <c r="G20" s="324">
        <v>262</v>
      </c>
      <c r="H20" s="16" t="s">
        <v>276</v>
      </c>
      <c r="I20" s="324">
        <v>377</v>
      </c>
    </row>
    <row r="21" spans="1:10" ht="13.5">
      <c r="A21" s="325" t="s">
        <v>99</v>
      </c>
      <c r="B21" s="324">
        <f>G20+I20</f>
        <v>639</v>
      </c>
      <c r="C21" s="242" t="s">
        <v>141</v>
      </c>
      <c r="D21" s="242"/>
      <c r="E21" s="242"/>
      <c r="F21" s="242"/>
      <c r="G21" s="242"/>
      <c r="H21" s="326"/>
      <c r="I21" s="242"/>
      <c r="J21" s="327"/>
    </row>
    <row r="22" spans="1:10" ht="13.5">
      <c r="A22" s="328" t="s">
        <v>52</v>
      </c>
      <c r="B22" s="324"/>
      <c r="C22" s="242"/>
      <c r="D22" s="242"/>
      <c r="E22" s="242"/>
      <c r="F22" s="242"/>
      <c r="G22" s="242"/>
      <c r="H22" s="326"/>
      <c r="I22" s="242"/>
      <c r="J22" s="327"/>
    </row>
    <row r="23" spans="1:10" ht="13.5">
      <c r="A23" s="434" t="s">
        <v>525</v>
      </c>
      <c r="B23" s="434"/>
      <c r="C23" s="434"/>
      <c r="D23" s="434"/>
      <c r="E23" s="434"/>
      <c r="F23" s="434"/>
      <c r="G23" s="434"/>
      <c r="H23" s="434"/>
      <c r="I23" s="434"/>
      <c r="J23" s="434"/>
    </row>
    <row r="24" spans="1:9" ht="10.5" customHeight="1">
      <c r="A24" s="48"/>
      <c r="B24" s="48"/>
      <c r="C24" s="48"/>
      <c r="D24" s="48"/>
      <c r="E24" s="48"/>
      <c r="F24" s="48"/>
      <c r="G24" s="48"/>
      <c r="H24" s="48"/>
      <c r="I24" s="329" t="s">
        <v>523</v>
      </c>
    </row>
    <row r="25" ht="15" customHeight="1">
      <c r="A25" s="16" t="s">
        <v>263</v>
      </c>
    </row>
    <row r="26" spans="1:10" ht="15" customHeight="1">
      <c r="A26" s="442"/>
      <c r="B26" s="440" t="s">
        <v>315</v>
      </c>
      <c r="C26" s="429" t="s">
        <v>140</v>
      </c>
      <c r="D26" s="430"/>
      <c r="E26" s="431" t="s">
        <v>366</v>
      </c>
      <c r="F26" s="474" t="s">
        <v>140</v>
      </c>
      <c r="G26" s="475"/>
      <c r="H26" s="475"/>
      <c r="I26" s="475"/>
      <c r="J26" s="24"/>
    </row>
    <row r="27" spans="1:10" ht="15" customHeight="1">
      <c r="A27" s="438"/>
      <c r="B27" s="427"/>
      <c r="C27" s="476" t="s">
        <v>102</v>
      </c>
      <c r="D27" s="450" t="s">
        <v>103</v>
      </c>
      <c r="E27" s="432"/>
      <c r="F27" s="452" t="s">
        <v>206</v>
      </c>
      <c r="G27" s="444" t="s">
        <v>268</v>
      </c>
      <c r="H27" s="474" t="s">
        <v>102</v>
      </c>
      <c r="I27" s="447" t="s">
        <v>103</v>
      </c>
      <c r="J27" s="24"/>
    </row>
    <row r="28" spans="1:10" ht="15" customHeight="1" thickBot="1">
      <c r="A28" s="439"/>
      <c r="B28" s="428"/>
      <c r="C28" s="477"/>
      <c r="D28" s="451"/>
      <c r="E28" s="433"/>
      <c r="F28" s="443"/>
      <c r="G28" s="445"/>
      <c r="H28" s="446"/>
      <c r="I28" s="441"/>
      <c r="J28" s="24"/>
    </row>
    <row r="29" spans="1:10" ht="19.5" customHeight="1" thickTop="1">
      <c r="A29" s="181" t="s">
        <v>92</v>
      </c>
      <c r="B29" s="330">
        <v>136828</v>
      </c>
      <c r="C29" s="331">
        <v>132386</v>
      </c>
      <c r="D29" s="332">
        <v>4442</v>
      </c>
      <c r="E29" s="306">
        <f aca="true" t="shared" si="3" ref="E29:E40">SUM(H29:I29)</f>
        <v>22025</v>
      </c>
      <c r="F29" s="333">
        <v>2564</v>
      </c>
      <c r="G29" s="132">
        <f>E29-F29</f>
        <v>19461</v>
      </c>
      <c r="H29" s="206">
        <v>19930</v>
      </c>
      <c r="I29" s="185">
        <v>2095</v>
      </c>
      <c r="J29" s="24"/>
    </row>
    <row r="30" spans="1:10" ht="19.5" customHeight="1">
      <c r="A30" s="129" t="s">
        <v>93</v>
      </c>
      <c r="B30" s="330">
        <v>107848</v>
      </c>
      <c r="C30" s="331">
        <v>104976</v>
      </c>
      <c r="D30" s="332">
        <v>2872</v>
      </c>
      <c r="E30" s="306">
        <f t="shared" si="3"/>
        <v>15390</v>
      </c>
      <c r="F30" s="334">
        <v>2230</v>
      </c>
      <c r="G30" s="133">
        <f>E30-F30</f>
        <v>13160</v>
      </c>
      <c r="H30" s="216">
        <v>13922</v>
      </c>
      <c r="I30" s="191">
        <v>1468</v>
      </c>
      <c r="J30" s="24"/>
    </row>
    <row r="31" spans="1:10" ht="19.5" customHeight="1">
      <c r="A31" s="129" t="s">
        <v>95</v>
      </c>
      <c r="B31" s="330">
        <v>27461</v>
      </c>
      <c r="C31" s="331">
        <v>26147</v>
      </c>
      <c r="D31" s="332">
        <v>1314</v>
      </c>
      <c r="E31" s="306">
        <f t="shared" si="3"/>
        <v>5523</v>
      </c>
      <c r="F31" s="334">
        <v>745</v>
      </c>
      <c r="G31" s="133">
        <f>E31-F31</f>
        <v>4778</v>
      </c>
      <c r="H31" s="216">
        <v>4877</v>
      </c>
      <c r="I31" s="191">
        <v>646</v>
      </c>
      <c r="J31" s="24"/>
    </row>
    <row r="32" spans="1:10" ht="19.5" customHeight="1">
      <c r="A32" s="129" t="s">
        <v>367</v>
      </c>
      <c r="B32" s="330">
        <f>C32+D32</f>
        <v>568</v>
      </c>
      <c r="C32" s="331">
        <v>401</v>
      </c>
      <c r="D32" s="332">
        <v>167</v>
      </c>
      <c r="E32" s="306">
        <f t="shared" si="3"/>
        <v>568</v>
      </c>
      <c r="F32" s="335" t="s">
        <v>392</v>
      </c>
      <c r="G32" s="125" t="s">
        <v>392</v>
      </c>
      <c r="H32" s="216">
        <v>401</v>
      </c>
      <c r="I32" s="191">
        <v>167</v>
      </c>
      <c r="J32" s="24"/>
    </row>
    <row r="33" spans="1:10" ht="19.5" customHeight="1">
      <c r="A33" s="129" t="s">
        <v>96</v>
      </c>
      <c r="B33" s="330">
        <v>16271</v>
      </c>
      <c r="C33" s="331">
        <v>14967</v>
      </c>
      <c r="D33" s="332">
        <v>1304</v>
      </c>
      <c r="E33" s="306">
        <f t="shared" si="3"/>
        <v>3294</v>
      </c>
      <c r="F33" s="334">
        <v>628</v>
      </c>
      <c r="G33" s="133">
        <f aca="true" t="shared" si="4" ref="G33:G39">E33-F33</f>
        <v>2666</v>
      </c>
      <c r="H33" s="216">
        <v>2578</v>
      </c>
      <c r="I33" s="191">
        <v>716</v>
      </c>
      <c r="J33" s="24"/>
    </row>
    <row r="34" spans="1:10" ht="19.5" customHeight="1">
      <c r="A34" s="129" t="s">
        <v>209</v>
      </c>
      <c r="B34" s="330">
        <v>254</v>
      </c>
      <c r="C34" s="331">
        <v>214</v>
      </c>
      <c r="D34" s="311">
        <v>40</v>
      </c>
      <c r="E34" s="306">
        <f t="shared" si="3"/>
        <v>237</v>
      </c>
      <c r="F34" s="334">
        <v>158</v>
      </c>
      <c r="G34" s="133">
        <f t="shared" si="4"/>
        <v>79</v>
      </c>
      <c r="H34" s="216">
        <v>201</v>
      </c>
      <c r="I34" s="191">
        <v>36</v>
      </c>
      <c r="J34" s="24"/>
    </row>
    <row r="35" spans="1:10" ht="19.5" customHeight="1">
      <c r="A35" s="129" t="s">
        <v>199</v>
      </c>
      <c r="B35" s="330">
        <v>2145</v>
      </c>
      <c r="C35" s="331">
        <v>1779</v>
      </c>
      <c r="D35" s="332">
        <v>366</v>
      </c>
      <c r="E35" s="306">
        <f t="shared" si="3"/>
        <v>915</v>
      </c>
      <c r="F35" s="334">
        <v>196</v>
      </c>
      <c r="G35" s="133">
        <f t="shared" si="4"/>
        <v>719</v>
      </c>
      <c r="H35" s="216">
        <v>693</v>
      </c>
      <c r="I35" s="191">
        <v>222</v>
      </c>
      <c r="J35" s="24"/>
    </row>
    <row r="36" spans="1:10" ht="19.5" customHeight="1">
      <c r="A36" s="129" t="s">
        <v>210</v>
      </c>
      <c r="B36" s="330">
        <v>994</v>
      </c>
      <c r="C36" s="331">
        <v>705</v>
      </c>
      <c r="D36" s="311">
        <v>289</v>
      </c>
      <c r="E36" s="306">
        <f t="shared" si="3"/>
        <v>930</v>
      </c>
      <c r="F36" s="334">
        <v>718</v>
      </c>
      <c r="G36" s="133">
        <f t="shared" si="4"/>
        <v>212</v>
      </c>
      <c r="H36" s="336">
        <v>655</v>
      </c>
      <c r="I36" s="337">
        <v>275</v>
      </c>
      <c r="J36" s="24"/>
    </row>
    <row r="37" spans="1:10" ht="19.5" customHeight="1">
      <c r="A37" s="129" t="s">
        <v>200</v>
      </c>
      <c r="B37" s="330">
        <v>4556</v>
      </c>
      <c r="C37" s="331">
        <v>3994</v>
      </c>
      <c r="D37" s="311">
        <v>562</v>
      </c>
      <c r="E37" s="306">
        <f t="shared" si="3"/>
        <v>1988</v>
      </c>
      <c r="F37" s="334">
        <v>399</v>
      </c>
      <c r="G37" s="133">
        <f t="shared" si="4"/>
        <v>1589</v>
      </c>
      <c r="H37" s="216">
        <v>1696</v>
      </c>
      <c r="I37" s="191">
        <v>292</v>
      </c>
      <c r="J37" s="24"/>
    </row>
    <row r="38" spans="1:10" ht="19.5" customHeight="1">
      <c r="A38" s="129" t="s">
        <v>277</v>
      </c>
      <c r="B38" s="330">
        <v>13757</v>
      </c>
      <c r="C38" s="331">
        <v>12046</v>
      </c>
      <c r="D38" s="311">
        <v>1711</v>
      </c>
      <c r="E38" s="306">
        <f t="shared" si="3"/>
        <v>2139</v>
      </c>
      <c r="F38" s="334">
        <v>571</v>
      </c>
      <c r="G38" s="133">
        <f t="shared" si="4"/>
        <v>1568</v>
      </c>
      <c r="H38" s="216">
        <v>1300</v>
      </c>
      <c r="I38" s="191">
        <v>839</v>
      </c>
      <c r="J38" s="24"/>
    </row>
    <row r="39" spans="1:10" ht="19.5" customHeight="1">
      <c r="A39" s="129" t="s">
        <v>312</v>
      </c>
      <c r="B39" s="330">
        <v>25578</v>
      </c>
      <c r="C39" s="331">
        <v>24084</v>
      </c>
      <c r="D39" s="332">
        <v>1494</v>
      </c>
      <c r="E39" s="306">
        <f t="shared" si="3"/>
        <v>7987</v>
      </c>
      <c r="F39" s="334">
        <v>1394</v>
      </c>
      <c r="G39" s="133">
        <f t="shared" si="4"/>
        <v>6593</v>
      </c>
      <c r="H39" s="216">
        <v>7015</v>
      </c>
      <c r="I39" s="191">
        <v>972</v>
      </c>
      <c r="J39" s="24"/>
    </row>
    <row r="40" spans="1:10" ht="19.5" customHeight="1">
      <c r="A40" s="338" t="s">
        <v>368</v>
      </c>
      <c r="B40" s="339">
        <f>C40+D40</f>
        <v>6584</v>
      </c>
      <c r="C40" s="340">
        <v>4433</v>
      </c>
      <c r="D40" s="192">
        <v>2151</v>
      </c>
      <c r="E40" s="195">
        <f t="shared" si="3"/>
        <v>6584</v>
      </c>
      <c r="F40" s="123" t="s">
        <v>403</v>
      </c>
      <c r="G40" s="341" t="s">
        <v>403</v>
      </c>
      <c r="H40" s="218">
        <v>4433</v>
      </c>
      <c r="I40" s="202">
        <v>2151</v>
      </c>
      <c r="J40" s="24"/>
    </row>
    <row r="41" spans="1:10" ht="19.5" customHeight="1" thickBot="1">
      <c r="A41" s="338" t="s">
        <v>393</v>
      </c>
      <c r="B41" s="128">
        <f>SUM(C41:D41)</f>
        <v>21</v>
      </c>
      <c r="C41" s="342">
        <f>9+2+2+5</f>
        <v>18</v>
      </c>
      <c r="D41" s="343">
        <f>3</f>
        <v>3</v>
      </c>
      <c r="E41" s="344">
        <f>H41+I41</f>
        <v>21</v>
      </c>
      <c r="F41" s="345">
        <f>9+2+2+8</f>
        <v>21</v>
      </c>
      <c r="G41" s="346">
        <f>E41-F41</f>
        <v>0</v>
      </c>
      <c r="H41" s="218">
        <f>9+2+2+5</f>
        <v>18</v>
      </c>
      <c r="I41" s="202">
        <f>3</f>
        <v>3</v>
      </c>
      <c r="J41" s="24"/>
    </row>
    <row r="42" spans="1:10" ht="19.5" customHeight="1" thickTop="1">
      <c r="A42" s="196" t="s">
        <v>99</v>
      </c>
      <c r="B42" s="347">
        <f>SUM(B29:B41)</f>
        <v>342865</v>
      </c>
      <c r="C42" s="348">
        <f>SUM(C29:C41)</f>
        <v>326150</v>
      </c>
      <c r="D42" s="349">
        <f>SUM(D29:D41)</f>
        <v>16715</v>
      </c>
      <c r="E42" s="305">
        <f>SUM(E29:E41)</f>
        <v>67601</v>
      </c>
      <c r="F42" s="350" t="s">
        <v>278</v>
      </c>
      <c r="G42" s="351" t="s">
        <v>278</v>
      </c>
      <c r="H42" s="352">
        <f>SUM(H29:H41)</f>
        <v>57719</v>
      </c>
      <c r="I42" s="353">
        <f>SUM(I29:I41)</f>
        <v>9882</v>
      </c>
      <c r="J42" s="24"/>
    </row>
    <row r="43" spans="1:10" ht="40.5" customHeight="1">
      <c r="A43" s="473" t="s">
        <v>82</v>
      </c>
      <c r="B43" s="473"/>
      <c r="C43" s="473"/>
      <c r="D43" s="473"/>
      <c r="E43" s="473"/>
      <c r="F43" s="473"/>
      <c r="G43" s="473"/>
      <c r="H43" s="473"/>
      <c r="I43" s="473"/>
      <c r="J43" s="473"/>
    </row>
    <row r="44" spans="1:10" ht="61.5" customHeight="1">
      <c r="A44" s="473" t="s">
        <v>526</v>
      </c>
      <c r="B44" s="473"/>
      <c r="C44" s="473"/>
      <c r="D44" s="473"/>
      <c r="E44" s="473"/>
      <c r="F44" s="473"/>
      <c r="G44" s="473"/>
      <c r="H44" s="473"/>
      <c r="I44" s="473"/>
      <c r="J44" s="473"/>
    </row>
    <row r="45" spans="1:10" ht="13.5">
      <c r="A45" s="473" t="s">
        <v>369</v>
      </c>
      <c r="B45" s="473"/>
      <c r="C45" s="473"/>
      <c r="D45" s="473"/>
      <c r="E45" s="473"/>
      <c r="F45" s="473"/>
      <c r="G45" s="473"/>
      <c r="H45" s="473"/>
      <c r="I45" s="473"/>
      <c r="J45" s="473"/>
    </row>
    <row r="46" spans="1:10" ht="6.75" customHeight="1">
      <c r="A46" s="473"/>
      <c r="B46" s="473"/>
      <c r="C46" s="473"/>
      <c r="D46" s="473"/>
      <c r="E46" s="473"/>
      <c r="F46" s="473"/>
      <c r="G46" s="473"/>
      <c r="H46" s="473"/>
      <c r="I46" s="473"/>
      <c r="J46" s="473"/>
    </row>
  </sheetData>
  <mergeCells count="20">
    <mergeCell ref="A23:J23"/>
    <mergeCell ref="A1:J1"/>
    <mergeCell ref="A3:A4"/>
    <mergeCell ref="B3:B4"/>
    <mergeCell ref="C3:E3"/>
    <mergeCell ref="F3:J3"/>
    <mergeCell ref="A26:A28"/>
    <mergeCell ref="B26:B28"/>
    <mergeCell ref="C26:D26"/>
    <mergeCell ref="E26:E28"/>
    <mergeCell ref="A43:J43"/>
    <mergeCell ref="A44:J44"/>
    <mergeCell ref="A45:J46"/>
    <mergeCell ref="F26:I26"/>
    <mergeCell ref="C27:C28"/>
    <mergeCell ref="D27:D28"/>
    <mergeCell ref="F27:F28"/>
    <mergeCell ref="G27:G28"/>
    <mergeCell ref="H27:H28"/>
    <mergeCell ref="I27:I28"/>
  </mergeCells>
  <printOptions/>
  <pageMargins left="0.5905511811023623" right="0.5905511811023623" top="0.7874015748031497" bottom="0.7874015748031497" header="0.5118110236220472" footer="0.5118110236220472"/>
  <pageSetup horizontalDpi="600" verticalDpi="600" orientation="portrait" paperSize="9" scale="9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85" zoomScaleNormal="85" workbookViewId="0" topLeftCell="A1">
      <selection activeCell="A1" sqref="A1:E1"/>
    </sheetView>
  </sheetViews>
  <sheetFormatPr defaultColWidth="9.00390625" defaultRowHeight="13.5"/>
  <cols>
    <col min="1" max="10" width="10.625" style="16" customWidth="1"/>
    <col min="11" max="11" width="11.625" style="16" customWidth="1"/>
    <col min="12" max="16384" width="9.00390625" style="16" customWidth="1"/>
  </cols>
  <sheetData>
    <row r="1" spans="1:7" ht="18.75" customHeight="1">
      <c r="A1" s="478" t="s">
        <v>404</v>
      </c>
      <c r="B1" s="478"/>
      <c r="C1" s="478"/>
      <c r="D1" s="478"/>
      <c r="E1" s="478"/>
      <c r="F1" s="479" t="s">
        <v>279</v>
      </c>
      <c r="G1" s="479"/>
    </row>
    <row r="2" spans="1:11" s="17" customFormat="1" ht="30" customHeight="1" thickBot="1">
      <c r="A2" s="49"/>
      <c r="B2" s="104" t="s">
        <v>280</v>
      </c>
      <c r="C2" s="109" t="s">
        <v>48</v>
      </c>
      <c r="D2" s="109" t="s">
        <v>281</v>
      </c>
      <c r="E2" s="109" t="s">
        <v>282</v>
      </c>
      <c r="F2" s="109" t="s">
        <v>283</v>
      </c>
      <c r="G2" s="109" t="s">
        <v>405</v>
      </c>
      <c r="H2" s="109" t="s">
        <v>207</v>
      </c>
      <c r="I2" s="109" t="s">
        <v>406</v>
      </c>
      <c r="J2" s="110" t="s">
        <v>284</v>
      </c>
      <c r="K2" s="101" t="s">
        <v>99</v>
      </c>
    </row>
    <row r="3" spans="1:11" ht="22.5" customHeight="1" thickTop="1">
      <c r="A3" s="181" t="s">
        <v>92</v>
      </c>
      <c r="B3" s="182">
        <f>1249+30</f>
        <v>1279</v>
      </c>
      <c r="C3" s="185">
        <f>17246+7</f>
        <v>17253</v>
      </c>
      <c r="D3" s="185">
        <f>1803</f>
        <v>1803</v>
      </c>
      <c r="E3" s="185"/>
      <c r="F3" s="185">
        <f>2076</f>
        <v>2076</v>
      </c>
      <c r="G3" s="185">
        <f>9522+200</f>
        <v>9722</v>
      </c>
      <c r="H3" s="185">
        <f>27</f>
        <v>27</v>
      </c>
      <c r="I3" s="185">
        <f>2550</f>
        <v>2550</v>
      </c>
      <c r="J3" s="274">
        <f>3+16+1630+6+119</f>
        <v>1774</v>
      </c>
      <c r="K3" s="132">
        <f>SUM(B3:J3)</f>
        <v>36484</v>
      </c>
    </row>
    <row r="4" spans="1:11" ht="22.5" customHeight="1">
      <c r="A4" s="129" t="s">
        <v>93</v>
      </c>
      <c r="B4" s="194">
        <f>36</f>
        <v>36</v>
      </c>
      <c r="C4" s="191">
        <f>136412+72</f>
        <v>136484</v>
      </c>
      <c r="D4" s="191">
        <f>19516</f>
        <v>19516</v>
      </c>
      <c r="E4" s="191">
        <f>3</f>
        <v>3</v>
      </c>
      <c r="F4" s="191">
        <f>88851+14</f>
        <v>88865</v>
      </c>
      <c r="G4" s="191">
        <f>3668+4</f>
        <v>3672</v>
      </c>
      <c r="H4" s="191">
        <f>24</f>
        <v>24</v>
      </c>
      <c r="I4" s="191">
        <f>1613</f>
        <v>1613</v>
      </c>
      <c r="J4" s="275">
        <v>0</v>
      </c>
      <c r="K4" s="133">
        <f aca="true" t="shared" si="0" ref="K4:K13">SUM(B4:J4)</f>
        <v>250213</v>
      </c>
    </row>
    <row r="5" spans="1:11" ht="22.5" customHeight="1">
      <c r="A5" s="129" t="s">
        <v>95</v>
      </c>
      <c r="B5" s="194">
        <f>20</f>
        <v>20</v>
      </c>
      <c r="C5" s="191">
        <f>3243</f>
        <v>3243</v>
      </c>
      <c r="D5" s="191">
        <f>1084</f>
        <v>1084</v>
      </c>
      <c r="E5" s="191">
        <f>0</f>
        <v>0</v>
      </c>
      <c r="F5" s="191">
        <f>817</f>
        <v>817</v>
      </c>
      <c r="G5" s="191">
        <f>118</f>
        <v>118</v>
      </c>
      <c r="H5" s="191">
        <f>2</f>
        <v>2</v>
      </c>
      <c r="I5" s="191">
        <f>168</f>
        <v>168</v>
      </c>
      <c r="J5" s="275">
        <v>0</v>
      </c>
      <c r="K5" s="133">
        <f t="shared" si="0"/>
        <v>5452</v>
      </c>
    </row>
    <row r="6" spans="1:11" ht="22.5" customHeight="1">
      <c r="A6" s="129" t="s">
        <v>96</v>
      </c>
      <c r="B6" s="194">
        <v>0</v>
      </c>
      <c r="C6" s="191">
        <f>1</f>
        <v>1</v>
      </c>
      <c r="D6" s="191">
        <v>0</v>
      </c>
      <c r="E6" s="191">
        <v>0</v>
      </c>
      <c r="F6" s="191">
        <v>0</v>
      </c>
      <c r="G6" s="191">
        <f>108</f>
        <v>108</v>
      </c>
      <c r="H6" s="191">
        <f>1</f>
        <v>1</v>
      </c>
      <c r="I6" s="191">
        <f>145</f>
        <v>145</v>
      </c>
      <c r="J6" s="275">
        <v>0</v>
      </c>
      <c r="K6" s="133">
        <f t="shared" si="0"/>
        <v>255</v>
      </c>
    </row>
    <row r="7" spans="1:11" ht="22.5" customHeight="1">
      <c r="A7" s="217" t="s">
        <v>209</v>
      </c>
      <c r="B7" s="213">
        <f>1</f>
        <v>1</v>
      </c>
      <c r="C7" s="202">
        <f>151</f>
        <v>151</v>
      </c>
      <c r="D7" s="191">
        <f>257</f>
        <v>257</v>
      </c>
      <c r="E7" s="202">
        <v>0</v>
      </c>
      <c r="F7" s="202">
        <f>52</f>
        <v>52</v>
      </c>
      <c r="G7" s="202">
        <v>0</v>
      </c>
      <c r="H7" s="202">
        <v>0</v>
      </c>
      <c r="I7" s="202">
        <f>14</f>
        <v>14</v>
      </c>
      <c r="J7" s="276">
        <v>0</v>
      </c>
      <c r="K7" s="133">
        <f>SUM(B7:J7)</f>
        <v>475</v>
      </c>
    </row>
    <row r="8" spans="1:11" ht="22.5" customHeight="1">
      <c r="A8" s="129" t="s">
        <v>199</v>
      </c>
      <c r="B8" s="194">
        <f>1</f>
        <v>1</v>
      </c>
      <c r="C8" s="191">
        <f>1241</f>
        <v>1241</v>
      </c>
      <c r="D8" s="191">
        <f>716</f>
        <v>716</v>
      </c>
      <c r="E8" s="191">
        <v>0</v>
      </c>
      <c r="F8" s="191">
        <f>314</f>
        <v>314</v>
      </c>
      <c r="G8" s="191">
        <f>59</f>
        <v>59</v>
      </c>
      <c r="H8" s="191">
        <v>0</v>
      </c>
      <c r="I8" s="191">
        <f>30</f>
        <v>30</v>
      </c>
      <c r="J8" s="275">
        <v>0</v>
      </c>
      <c r="K8" s="133">
        <f t="shared" si="0"/>
        <v>2361</v>
      </c>
    </row>
    <row r="9" spans="1:11" ht="22.5" customHeight="1">
      <c r="A9" s="217" t="s">
        <v>210</v>
      </c>
      <c r="B9" s="213">
        <v>0</v>
      </c>
      <c r="C9" s="202">
        <f>1097</f>
        <v>1097</v>
      </c>
      <c r="D9" s="202">
        <f>820</f>
        <v>820</v>
      </c>
      <c r="E9" s="202">
        <f>1</f>
        <v>1</v>
      </c>
      <c r="F9" s="202">
        <f>380</f>
        <v>380</v>
      </c>
      <c r="G9" s="202">
        <f>123</f>
        <v>123</v>
      </c>
      <c r="H9" s="202">
        <v>0</v>
      </c>
      <c r="I9" s="202">
        <f>36</f>
        <v>36</v>
      </c>
      <c r="J9" s="276">
        <v>0</v>
      </c>
      <c r="K9" s="133">
        <f>SUM(B9:J9)</f>
        <v>2457</v>
      </c>
    </row>
    <row r="10" spans="1:11" ht="22.5" customHeight="1">
      <c r="A10" s="129" t="s">
        <v>200</v>
      </c>
      <c r="B10" s="194">
        <f>0</f>
        <v>0</v>
      </c>
      <c r="C10" s="191">
        <f>2427</f>
        <v>2427</v>
      </c>
      <c r="D10" s="191">
        <f>819</f>
        <v>819</v>
      </c>
      <c r="E10" s="191">
        <f>1</f>
        <v>1</v>
      </c>
      <c r="F10" s="191">
        <f>1713</f>
        <v>1713</v>
      </c>
      <c r="G10" s="191">
        <f>233</f>
        <v>233</v>
      </c>
      <c r="H10" s="191">
        <f>0</f>
        <v>0</v>
      </c>
      <c r="I10" s="191">
        <f>99</f>
        <v>99</v>
      </c>
      <c r="J10" s="275">
        <v>0</v>
      </c>
      <c r="K10" s="133">
        <f t="shared" si="0"/>
        <v>5292</v>
      </c>
    </row>
    <row r="11" spans="1:11" ht="22.5" customHeight="1">
      <c r="A11" s="129" t="s">
        <v>277</v>
      </c>
      <c r="B11" s="194">
        <v>0</v>
      </c>
      <c r="C11" s="191">
        <f>38+55</f>
        <v>93</v>
      </c>
      <c r="D11" s="191">
        <f>8</f>
        <v>8</v>
      </c>
      <c r="E11" s="191">
        <v>0</v>
      </c>
      <c r="F11" s="191">
        <f>37</f>
        <v>37</v>
      </c>
      <c r="G11" s="191">
        <f>2</f>
        <v>2</v>
      </c>
      <c r="H11" s="191">
        <v>0</v>
      </c>
      <c r="I11" s="191">
        <f>5</f>
        <v>5</v>
      </c>
      <c r="J11" s="275">
        <v>0</v>
      </c>
      <c r="K11" s="133">
        <f>SUM(B11:J11)</f>
        <v>145</v>
      </c>
    </row>
    <row r="12" spans="1:11" ht="22.5" customHeight="1">
      <c r="A12" s="129" t="s">
        <v>312</v>
      </c>
      <c r="B12" s="194">
        <f>2+1</f>
        <v>3</v>
      </c>
      <c r="C12" s="191">
        <f>8907+3</f>
        <v>8910</v>
      </c>
      <c r="D12" s="191">
        <f>3755</f>
        <v>3755</v>
      </c>
      <c r="E12" s="191">
        <f>0</f>
        <v>0</v>
      </c>
      <c r="F12" s="191">
        <f>5024+4</f>
        <v>5028</v>
      </c>
      <c r="G12" s="191">
        <f>2283+2</f>
        <v>2285</v>
      </c>
      <c r="H12" s="191">
        <f>0</f>
        <v>0</v>
      </c>
      <c r="I12" s="191">
        <f>377</f>
        <v>377</v>
      </c>
      <c r="J12" s="275">
        <f>0</f>
        <v>0</v>
      </c>
      <c r="K12" s="133">
        <f>SUM(B12:J12)</f>
        <v>20358</v>
      </c>
    </row>
    <row r="13" spans="1:11" ht="22.5" customHeight="1" thickBot="1">
      <c r="A13" s="130" t="s">
        <v>49</v>
      </c>
      <c r="B13" s="220">
        <f>0</f>
        <v>0</v>
      </c>
      <c r="C13" s="277">
        <v>0</v>
      </c>
      <c r="D13" s="277"/>
      <c r="E13" s="277">
        <v>0</v>
      </c>
      <c r="F13" s="277">
        <v>0</v>
      </c>
      <c r="G13" s="277">
        <f>0</f>
        <v>0</v>
      </c>
      <c r="H13" s="277">
        <v>0</v>
      </c>
      <c r="I13" s="277">
        <f>2</f>
        <v>2</v>
      </c>
      <c r="J13" s="278">
        <v>0</v>
      </c>
      <c r="K13" s="223">
        <f t="shared" si="0"/>
        <v>2</v>
      </c>
    </row>
    <row r="14" spans="1:11" ht="22.5" customHeight="1" thickTop="1">
      <c r="A14" s="279" t="s">
        <v>99</v>
      </c>
      <c r="B14" s="206">
        <f aca="true" t="shared" si="1" ref="B14:K14">SUM(B3:B13)</f>
        <v>1340</v>
      </c>
      <c r="C14" s="185">
        <f t="shared" si="1"/>
        <v>170900</v>
      </c>
      <c r="D14" s="185">
        <f t="shared" si="1"/>
        <v>28778</v>
      </c>
      <c r="E14" s="185">
        <f t="shared" si="1"/>
        <v>5</v>
      </c>
      <c r="F14" s="185">
        <f t="shared" si="1"/>
        <v>99282</v>
      </c>
      <c r="G14" s="185">
        <f t="shared" si="1"/>
        <v>16322</v>
      </c>
      <c r="H14" s="185">
        <f t="shared" si="1"/>
        <v>54</v>
      </c>
      <c r="I14" s="185">
        <f t="shared" si="1"/>
        <v>5039</v>
      </c>
      <c r="J14" s="274">
        <f t="shared" si="1"/>
        <v>1774</v>
      </c>
      <c r="K14" s="132">
        <f t="shared" si="1"/>
        <v>323494</v>
      </c>
    </row>
    <row r="15" spans="1:11" ht="13.5">
      <c r="A15" s="488" t="s">
        <v>407</v>
      </c>
      <c r="B15" s="488"/>
      <c r="C15" s="488"/>
      <c r="D15" s="488"/>
      <c r="E15" s="488"/>
      <c r="F15" s="488"/>
      <c r="G15" s="488"/>
      <c r="H15" s="488"/>
      <c r="I15" s="488"/>
      <c r="J15" s="488"/>
      <c r="K15" s="488"/>
    </row>
    <row r="16" ht="8.25" customHeight="1"/>
    <row r="17" spans="1:10" s="33" customFormat="1" ht="13.5">
      <c r="A17" s="32" t="s">
        <v>408</v>
      </c>
      <c r="B17" s="32"/>
      <c r="C17" s="32"/>
      <c r="D17" s="32"/>
      <c r="E17" s="32"/>
      <c r="F17" s="32"/>
      <c r="G17" s="32"/>
      <c r="H17" s="32"/>
      <c r="I17" s="32"/>
      <c r="J17" s="32"/>
    </row>
    <row r="18" spans="1:11" s="10" customFormat="1" ht="22.5" customHeight="1">
      <c r="A18" s="482"/>
      <c r="B18" s="484" t="s">
        <v>112</v>
      </c>
      <c r="C18" s="485"/>
      <c r="D18" s="486"/>
      <c r="E18" s="484" t="s">
        <v>105</v>
      </c>
      <c r="F18" s="485"/>
      <c r="G18" s="485"/>
      <c r="H18" s="484" t="s">
        <v>142</v>
      </c>
      <c r="I18" s="485"/>
      <c r="J18" s="487"/>
      <c r="K18" s="480" t="s">
        <v>409</v>
      </c>
    </row>
    <row r="19" spans="1:11" s="10" customFormat="1" ht="22.5" customHeight="1" thickBot="1">
      <c r="A19" s="483"/>
      <c r="B19" s="34" t="s">
        <v>102</v>
      </c>
      <c r="C19" s="35" t="s">
        <v>103</v>
      </c>
      <c r="D19" s="36" t="s">
        <v>99</v>
      </c>
      <c r="E19" s="37" t="s">
        <v>102</v>
      </c>
      <c r="F19" s="38" t="s">
        <v>103</v>
      </c>
      <c r="G19" s="39" t="s">
        <v>99</v>
      </c>
      <c r="H19" s="34" t="s">
        <v>102</v>
      </c>
      <c r="I19" s="35" t="s">
        <v>103</v>
      </c>
      <c r="J19" s="40" t="s">
        <v>99</v>
      </c>
      <c r="K19" s="481"/>
    </row>
    <row r="20" spans="1:11" s="10" customFormat="1" ht="22.5" customHeight="1" thickTop="1">
      <c r="A20" s="92" t="s">
        <v>92</v>
      </c>
      <c r="B20" s="280">
        <v>682</v>
      </c>
      <c r="C20" s="281">
        <v>335</v>
      </c>
      <c r="D20" s="282">
        <v>1017</v>
      </c>
      <c r="E20" s="283">
        <v>1453</v>
      </c>
      <c r="F20" s="284">
        <v>1107</v>
      </c>
      <c r="G20" s="285">
        <v>2560</v>
      </c>
      <c r="H20" s="286">
        <v>99</v>
      </c>
      <c r="I20" s="287">
        <v>62</v>
      </c>
      <c r="J20" s="288">
        <v>161</v>
      </c>
      <c r="K20" s="289">
        <v>2345</v>
      </c>
    </row>
    <row r="21" spans="1:11" s="10" customFormat="1" ht="22.5" customHeight="1">
      <c r="A21" s="93" t="s">
        <v>113</v>
      </c>
      <c r="B21" s="280">
        <v>799</v>
      </c>
      <c r="C21" s="281">
        <v>47</v>
      </c>
      <c r="D21" s="282">
        <v>846</v>
      </c>
      <c r="E21" s="283">
        <v>2244</v>
      </c>
      <c r="F21" s="281">
        <v>108</v>
      </c>
      <c r="G21" s="285">
        <v>2352</v>
      </c>
      <c r="H21" s="290">
        <v>212</v>
      </c>
      <c r="I21" s="287">
        <v>38</v>
      </c>
      <c r="J21" s="291">
        <v>250</v>
      </c>
      <c r="K21" s="289">
        <v>2553</v>
      </c>
    </row>
    <row r="22" spans="1:11" s="10" customFormat="1" ht="22.5" customHeight="1">
      <c r="A22" s="93" t="s">
        <v>114</v>
      </c>
      <c r="B22" s="280">
        <v>811</v>
      </c>
      <c r="C22" s="281">
        <v>390</v>
      </c>
      <c r="D22" s="282">
        <v>1201</v>
      </c>
      <c r="E22" s="283">
        <v>2079</v>
      </c>
      <c r="F22" s="281">
        <v>1348</v>
      </c>
      <c r="G22" s="285">
        <v>3427</v>
      </c>
      <c r="H22" s="290">
        <v>134</v>
      </c>
      <c r="I22" s="287">
        <v>65</v>
      </c>
      <c r="J22" s="291">
        <v>199</v>
      </c>
      <c r="K22" s="289">
        <v>4220</v>
      </c>
    </row>
    <row r="23" spans="1:11" s="10" customFormat="1" ht="22.5" customHeight="1">
      <c r="A23" s="93" t="s">
        <v>115</v>
      </c>
      <c r="B23" s="280">
        <v>811</v>
      </c>
      <c r="C23" s="281">
        <v>423</v>
      </c>
      <c r="D23" s="282">
        <v>1234</v>
      </c>
      <c r="E23" s="283">
        <v>2054</v>
      </c>
      <c r="F23" s="281">
        <v>1394</v>
      </c>
      <c r="G23" s="285">
        <v>3448</v>
      </c>
      <c r="H23" s="290">
        <v>172</v>
      </c>
      <c r="I23" s="287">
        <v>90</v>
      </c>
      <c r="J23" s="291">
        <v>262</v>
      </c>
      <c r="K23" s="289">
        <v>8473</v>
      </c>
    </row>
    <row r="24" spans="1:11" s="10" customFormat="1" ht="22.5" customHeight="1">
      <c r="A24" s="93" t="s">
        <v>116</v>
      </c>
      <c r="B24" s="280">
        <v>573</v>
      </c>
      <c r="C24" s="281">
        <v>53</v>
      </c>
      <c r="D24" s="282">
        <v>626</v>
      </c>
      <c r="E24" s="283">
        <v>1550</v>
      </c>
      <c r="F24" s="281">
        <v>168</v>
      </c>
      <c r="G24" s="285">
        <v>1718</v>
      </c>
      <c r="H24" s="290">
        <v>60</v>
      </c>
      <c r="I24" s="287">
        <v>23</v>
      </c>
      <c r="J24" s="291">
        <v>83</v>
      </c>
      <c r="K24" s="289">
        <v>2379</v>
      </c>
    </row>
    <row r="25" spans="1:11" s="10" customFormat="1" ht="22.5" customHeight="1">
      <c r="A25" s="93" t="s">
        <v>117</v>
      </c>
      <c r="B25" s="280">
        <v>1434</v>
      </c>
      <c r="C25" s="281">
        <v>817</v>
      </c>
      <c r="D25" s="282">
        <v>2251</v>
      </c>
      <c r="E25" s="283">
        <v>4971</v>
      </c>
      <c r="F25" s="281">
        <v>2786</v>
      </c>
      <c r="G25" s="285">
        <v>7757</v>
      </c>
      <c r="H25" s="290">
        <v>180</v>
      </c>
      <c r="I25" s="287">
        <v>134</v>
      </c>
      <c r="J25" s="291">
        <v>314</v>
      </c>
      <c r="K25" s="289">
        <v>6794</v>
      </c>
    </row>
    <row r="26" spans="1:11" s="10" customFormat="1" ht="22.5" customHeight="1">
      <c r="A26" s="93" t="s">
        <v>118</v>
      </c>
      <c r="B26" s="280">
        <v>1017</v>
      </c>
      <c r="C26" s="281">
        <v>443</v>
      </c>
      <c r="D26" s="282">
        <v>1460</v>
      </c>
      <c r="E26" s="283">
        <v>3038</v>
      </c>
      <c r="F26" s="281">
        <v>1449</v>
      </c>
      <c r="G26" s="285">
        <v>4487</v>
      </c>
      <c r="H26" s="290">
        <v>129</v>
      </c>
      <c r="I26" s="287">
        <v>59</v>
      </c>
      <c r="J26" s="291">
        <v>188</v>
      </c>
      <c r="K26" s="289">
        <v>5177</v>
      </c>
    </row>
    <row r="27" spans="1:11" s="10" customFormat="1" ht="22.5" customHeight="1">
      <c r="A27" s="93" t="s">
        <v>119</v>
      </c>
      <c r="B27" s="280">
        <v>1271</v>
      </c>
      <c r="C27" s="281">
        <v>314</v>
      </c>
      <c r="D27" s="282">
        <v>1585</v>
      </c>
      <c r="E27" s="283">
        <v>2543</v>
      </c>
      <c r="F27" s="281">
        <v>1556</v>
      </c>
      <c r="G27" s="285">
        <v>4099</v>
      </c>
      <c r="H27" s="290">
        <v>189</v>
      </c>
      <c r="I27" s="287">
        <v>89</v>
      </c>
      <c r="J27" s="291">
        <v>278</v>
      </c>
      <c r="K27" s="289">
        <v>5615</v>
      </c>
    </row>
    <row r="28" spans="1:11" s="10" customFormat="1" ht="22.5" customHeight="1">
      <c r="A28" s="93" t="s">
        <v>120</v>
      </c>
      <c r="B28" s="280">
        <v>1458</v>
      </c>
      <c r="C28" s="281">
        <v>576</v>
      </c>
      <c r="D28" s="282">
        <v>2034</v>
      </c>
      <c r="E28" s="283">
        <v>4314</v>
      </c>
      <c r="F28" s="281">
        <v>2410</v>
      </c>
      <c r="G28" s="285">
        <v>6724</v>
      </c>
      <c r="H28" s="290">
        <v>223</v>
      </c>
      <c r="I28" s="287">
        <v>113</v>
      </c>
      <c r="J28" s="291">
        <v>336</v>
      </c>
      <c r="K28" s="289">
        <v>4444</v>
      </c>
    </row>
    <row r="29" spans="1:11" s="10" customFormat="1" ht="22.5" customHeight="1">
      <c r="A29" s="93" t="s">
        <v>121</v>
      </c>
      <c r="B29" s="280">
        <v>1178</v>
      </c>
      <c r="C29" s="281">
        <v>266</v>
      </c>
      <c r="D29" s="282">
        <v>1444</v>
      </c>
      <c r="E29" s="283">
        <v>3455</v>
      </c>
      <c r="F29" s="281">
        <v>903</v>
      </c>
      <c r="G29" s="285">
        <v>4358</v>
      </c>
      <c r="H29" s="290">
        <v>165</v>
      </c>
      <c r="I29" s="287">
        <v>44</v>
      </c>
      <c r="J29" s="291">
        <v>209</v>
      </c>
      <c r="K29" s="289">
        <v>6449</v>
      </c>
    </row>
    <row r="30" spans="1:11" s="10" customFormat="1" ht="22.5" customHeight="1">
      <c r="A30" s="93" t="s">
        <v>122</v>
      </c>
      <c r="B30" s="280">
        <v>1418</v>
      </c>
      <c r="C30" s="281">
        <v>268</v>
      </c>
      <c r="D30" s="282">
        <v>1686</v>
      </c>
      <c r="E30" s="283">
        <v>3463</v>
      </c>
      <c r="F30" s="281">
        <v>2638</v>
      </c>
      <c r="G30" s="285">
        <v>6101</v>
      </c>
      <c r="H30" s="290">
        <v>261</v>
      </c>
      <c r="I30" s="287">
        <v>61</v>
      </c>
      <c r="J30" s="291">
        <v>322</v>
      </c>
      <c r="K30" s="289">
        <v>8129</v>
      </c>
    </row>
    <row r="31" spans="1:11" s="10" customFormat="1" ht="22.5" customHeight="1">
      <c r="A31" s="93" t="s">
        <v>123</v>
      </c>
      <c r="B31" s="280">
        <v>845</v>
      </c>
      <c r="C31" s="281">
        <v>132</v>
      </c>
      <c r="D31" s="282">
        <v>977</v>
      </c>
      <c r="E31" s="283">
        <v>2397</v>
      </c>
      <c r="F31" s="281">
        <v>471</v>
      </c>
      <c r="G31" s="285">
        <v>2868</v>
      </c>
      <c r="H31" s="290">
        <v>158</v>
      </c>
      <c r="I31" s="287">
        <v>52</v>
      </c>
      <c r="J31" s="291">
        <v>210</v>
      </c>
      <c r="K31" s="289">
        <v>5073</v>
      </c>
    </row>
    <row r="32" spans="1:11" s="10" customFormat="1" ht="22.5" customHeight="1">
      <c r="A32" s="93" t="s">
        <v>124</v>
      </c>
      <c r="B32" s="280">
        <v>614</v>
      </c>
      <c r="C32" s="281">
        <v>379</v>
      </c>
      <c r="D32" s="282">
        <v>993</v>
      </c>
      <c r="E32" s="283">
        <v>1806</v>
      </c>
      <c r="F32" s="281">
        <v>1493</v>
      </c>
      <c r="G32" s="285">
        <v>3299</v>
      </c>
      <c r="H32" s="290">
        <v>116</v>
      </c>
      <c r="I32" s="287">
        <v>72</v>
      </c>
      <c r="J32" s="291">
        <v>188</v>
      </c>
      <c r="K32" s="289">
        <v>6050</v>
      </c>
    </row>
    <row r="33" spans="1:11" s="10" customFormat="1" ht="22.5" customHeight="1">
      <c r="A33" s="93" t="s">
        <v>125</v>
      </c>
      <c r="B33" s="280">
        <v>433</v>
      </c>
      <c r="C33" s="281">
        <v>139</v>
      </c>
      <c r="D33" s="282">
        <v>572</v>
      </c>
      <c r="E33" s="283">
        <v>985</v>
      </c>
      <c r="F33" s="281">
        <v>487</v>
      </c>
      <c r="G33" s="285">
        <v>1472</v>
      </c>
      <c r="H33" s="290">
        <v>71</v>
      </c>
      <c r="I33" s="287">
        <v>32</v>
      </c>
      <c r="J33" s="291">
        <v>103</v>
      </c>
      <c r="K33" s="289">
        <v>2981</v>
      </c>
    </row>
    <row r="34" spans="1:11" s="10" customFormat="1" ht="22.5" customHeight="1">
      <c r="A34" s="93" t="s">
        <v>204</v>
      </c>
      <c r="B34" s="280">
        <v>1061</v>
      </c>
      <c r="C34" s="281">
        <v>389</v>
      </c>
      <c r="D34" s="282">
        <v>1450</v>
      </c>
      <c r="E34" s="283">
        <v>3105</v>
      </c>
      <c r="F34" s="281">
        <v>1261</v>
      </c>
      <c r="G34" s="285">
        <v>4366</v>
      </c>
      <c r="H34" s="290">
        <v>164</v>
      </c>
      <c r="I34" s="287">
        <v>71</v>
      </c>
      <c r="J34" s="291">
        <v>235</v>
      </c>
      <c r="K34" s="289">
        <v>4979</v>
      </c>
    </row>
    <row r="35" spans="1:11" s="10" customFormat="1" ht="22.5" customHeight="1">
      <c r="A35" s="93" t="s">
        <v>126</v>
      </c>
      <c r="B35" s="280">
        <v>863</v>
      </c>
      <c r="C35" s="281">
        <v>176</v>
      </c>
      <c r="D35" s="282">
        <v>1039</v>
      </c>
      <c r="E35" s="283">
        <v>3599</v>
      </c>
      <c r="F35" s="281">
        <v>562</v>
      </c>
      <c r="G35" s="285">
        <v>4161</v>
      </c>
      <c r="H35" s="290">
        <v>63</v>
      </c>
      <c r="I35" s="287">
        <v>20</v>
      </c>
      <c r="J35" s="291">
        <v>83</v>
      </c>
      <c r="K35" s="289">
        <v>4773</v>
      </c>
    </row>
    <row r="36" spans="1:11" s="10" customFormat="1" ht="22.5" customHeight="1">
      <c r="A36" s="93" t="s">
        <v>127</v>
      </c>
      <c r="B36" s="280">
        <v>514</v>
      </c>
      <c r="C36" s="281">
        <v>399</v>
      </c>
      <c r="D36" s="282">
        <v>913</v>
      </c>
      <c r="E36" s="283">
        <v>1118</v>
      </c>
      <c r="F36" s="281">
        <v>1779</v>
      </c>
      <c r="G36" s="285">
        <v>2897</v>
      </c>
      <c r="H36" s="290">
        <v>84</v>
      </c>
      <c r="I36" s="287">
        <v>81</v>
      </c>
      <c r="J36" s="291">
        <v>165</v>
      </c>
      <c r="K36" s="289">
        <v>8796</v>
      </c>
    </row>
    <row r="37" spans="1:11" s="10" customFormat="1" ht="22.5" customHeight="1">
      <c r="A37" s="93" t="s">
        <v>128</v>
      </c>
      <c r="B37" s="280">
        <v>1119</v>
      </c>
      <c r="C37" s="281">
        <v>345</v>
      </c>
      <c r="D37" s="282">
        <v>1464</v>
      </c>
      <c r="E37" s="283">
        <v>3468</v>
      </c>
      <c r="F37" s="281">
        <v>1232</v>
      </c>
      <c r="G37" s="285">
        <v>4700</v>
      </c>
      <c r="H37" s="290">
        <v>182</v>
      </c>
      <c r="I37" s="287">
        <v>90</v>
      </c>
      <c r="J37" s="291">
        <v>272</v>
      </c>
      <c r="K37" s="289">
        <v>6492</v>
      </c>
    </row>
    <row r="38" spans="1:11" s="10" customFormat="1" ht="22.5" customHeight="1">
      <c r="A38" s="93" t="s">
        <v>129</v>
      </c>
      <c r="B38" s="280">
        <v>546</v>
      </c>
      <c r="C38" s="281">
        <v>385</v>
      </c>
      <c r="D38" s="282">
        <v>931</v>
      </c>
      <c r="E38" s="283">
        <v>1403</v>
      </c>
      <c r="F38" s="281">
        <v>1286</v>
      </c>
      <c r="G38" s="285">
        <v>2689</v>
      </c>
      <c r="H38" s="290">
        <v>81</v>
      </c>
      <c r="I38" s="287">
        <v>49</v>
      </c>
      <c r="J38" s="292">
        <v>130</v>
      </c>
      <c r="K38" s="289">
        <v>5093</v>
      </c>
    </row>
    <row r="39" spans="1:11" s="10" customFormat="1" ht="22.5" customHeight="1">
      <c r="A39" s="93" t="s">
        <v>130</v>
      </c>
      <c r="B39" s="280">
        <v>332</v>
      </c>
      <c r="C39" s="281">
        <v>202</v>
      </c>
      <c r="D39" s="282">
        <v>534</v>
      </c>
      <c r="E39" s="283">
        <v>1003</v>
      </c>
      <c r="F39" s="281">
        <v>636</v>
      </c>
      <c r="G39" s="285">
        <v>1639</v>
      </c>
      <c r="H39" s="290">
        <v>50</v>
      </c>
      <c r="I39" s="287">
        <v>30</v>
      </c>
      <c r="J39" s="291">
        <v>80</v>
      </c>
      <c r="K39" s="289">
        <v>3772</v>
      </c>
    </row>
    <row r="40" spans="1:11" s="10" customFormat="1" ht="22.5" customHeight="1">
      <c r="A40" s="93" t="s">
        <v>131</v>
      </c>
      <c r="B40" s="280">
        <v>993</v>
      </c>
      <c r="C40" s="281">
        <v>329</v>
      </c>
      <c r="D40" s="282">
        <v>1322</v>
      </c>
      <c r="E40" s="283">
        <v>2069</v>
      </c>
      <c r="F40" s="281">
        <v>1912</v>
      </c>
      <c r="G40" s="285">
        <v>3981</v>
      </c>
      <c r="H40" s="290">
        <v>189</v>
      </c>
      <c r="I40" s="287">
        <v>101</v>
      </c>
      <c r="J40" s="291">
        <v>290</v>
      </c>
      <c r="K40" s="289">
        <v>8378</v>
      </c>
    </row>
    <row r="41" spans="1:11" s="10" customFormat="1" ht="22.5" customHeight="1">
      <c r="A41" s="93" t="s">
        <v>132</v>
      </c>
      <c r="B41" s="280">
        <v>1079</v>
      </c>
      <c r="C41" s="281">
        <v>209</v>
      </c>
      <c r="D41" s="282">
        <v>1288</v>
      </c>
      <c r="E41" s="283">
        <v>3027</v>
      </c>
      <c r="F41" s="281">
        <v>757</v>
      </c>
      <c r="G41" s="285">
        <v>3784</v>
      </c>
      <c r="H41" s="290">
        <v>202</v>
      </c>
      <c r="I41" s="287">
        <v>73</v>
      </c>
      <c r="J41" s="291">
        <v>275</v>
      </c>
      <c r="K41" s="289">
        <v>7141</v>
      </c>
    </row>
    <row r="42" spans="1:11" s="10" customFormat="1" ht="22.5" customHeight="1">
      <c r="A42" s="93" t="s">
        <v>133</v>
      </c>
      <c r="B42" s="280">
        <v>1432</v>
      </c>
      <c r="C42" s="281">
        <v>694</v>
      </c>
      <c r="D42" s="282">
        <v>2126</v>
      </c>
      <c r="E42" s="283">
        <v>3903</v>
      </c>
      <c r="F42" s="281">
        <v>2553</v>
      </c>
      <c r="G42" s="285">
        <v>6456</v>
      </c>
      <c r="H42" s="290">
        <v>106</v>
      </c>
      <c r="I42" s="287">
        <v>58</v>
      </c>
      <c r="J42" s="291">
        <v>164</v>
      </c>
      <c r="K42" s="289">
        <v>4783</v>
      </c>
    </row>
    <row r="43" spans="1:11" s="10" customFormat="1" ht="22.5" customHeight="1">
      <c r="A43" s="93" t="s">
        <v>134</v>
      </c>
      <c r="B43" s="280">
        <v>1829</v>
      </c>
      <c r="C43" s="281">
        <v>357</v>
      </c>
      <c r="D43" s="282">
        <v>2186</v>
      </c>
      <c r="E43" s="283">
        <v>5664</v>
      </c>
      <c r="F43" s="281">
        <v>1216</v>
      </c>
      <c r="G43" s="285">
        <v>6880</v>
      </c>
      <c r="H43" s="290">
        <v>239</v>
      </c>
      <c r="I43" s="287">
        <v>104</v>
      </c>
      <c r="J43" s="291">
        <v>343</v>
      </c>
      <c r="K43" s="289">
        <v>4859</v>
      </c>
    </row>
    <row r="44" spans="1:11" s="10" customFormat="1" ht="22.5" customHeight="1">
      <c r="A44" s="93" t="s">
        <v>135</v>
      </c>
      <c r="B44" s="280">
        <v>739</v>
      </c>
      <c r="C44" s="281">
        <v>255</v>
      </c>
      <c r="D44" s="282">
        <v>994</v>
      </c>
      <c r="E44" s="283">
        <v>2508</v>
      </c>
      <c r="F44" s="281">
        <v>989</v>
      </c>
      <c r="G44" s="285">
        <v>3497</v>
      </c>
      <c r="H44" s="290">
        <v>99</v>
      </c>
      <c r="I44" s="287">
        <v>51</v>
      </c>
      <c r="J44" s="291">
        <v>150</v>
      </c>
      <c r="K44" s="289">
        <v>6706</v>
      </c>
    </row>
    <row r="45" spans="1:11" s="10" customFormat="1" ht="22.5" customHeight="1">
      <c r="A45" s="93" t="s">
        <v>136</v>
      </c>
      <c r="B45" s="280">
        <v>1852</v>
      </c>
      <c r="C45" s="281">
        <v>1205</v>
      </c>
      <c r="D45" s="282">
        <v>3057</v>
      </c>
      <c r="E45" s="283">
        <v>5588</v>
      </c>
      <c r="F45" s="281">
        <v>4098</v>
      </c>
      <c r="G45" s="285">
        <v>9686</v>
      </c>
      <c r="H45" s="290">
        <v>306</v>
      </c>
      <c r="I45" s="287">
        <v>239</v>
      </c>
      <c r="J45" s="291">
        <v>545</v>
      </c>
      <c r="K45" s="289">
        <v>9240</v>
      </c>
    </row>
    <row r="46" spans="1:11" ht="22.5" customHeight="1">
      <c r="A46" s="99" t="s">
        <v>361</v>
      </c>
      <c r="B46" s="293">
        <v>551</v>
      </c>
      <c r="C46" s="287">
        <v>245</v>
      </c>
      <c r="D46" s="294">
        <v>796</v>
      </c>
      <c r="E46" s="293">
        <v>1323</v>
      </c>
      <c r="F46" s="287">
        <v>567</v>
      </c>
      <c r="G46" s="294">
        <v>1890</v>
      </c>
      <c r="H46" s="293">
        <v>62</v>
      </c>
      <c r="I46" s="287">
        <v>20</v>
      </c>
      <c r="J46" s="294">
        <v>82</v>
      </c>
      <c r="K46" s="243">
        <v>3153</v>
      </c>
    </row>
    <row r="47" spans="1:11" ht="22.5" customHeight="1">
      <c r="A47" s="100" t="s">
        <v>362</v>
      </c>
      <c r="B47" s="293">
        <v>1688</v>
      </c>
      <c r="C47" s="287">
        <v>391</v>
      </c>
      <c r="D47" s="294">
        <v>2079</v>
      </c>
      <c r="E47" s="293">
        <v>4979</v>
      </c>
      <c r="F47" s="287">
        <v>1387</v>
      </c>
      <c r="G47" s="294">
        <v>6366</v>
      </c>
      <c r="H47" s="293">
        <v>184</v>
      </c>
      <c r="I47" s="287">
        <v>91</v>
      </c>
      <c r="J47" s="294">
        <v>275</v>
      </c>
      <c r="K47" s="243">
        <v>11401</v>
      </c>
    </row>
    <row r="48" spans="1:11" ht="22.5" customHeight="1">
      <c r="A48" s="100" t="s">
        <v>363</v>
      </c>
      <c r="B48" s="293">
        <v>205</v>
      </c>
      <c r="C48" s="287">
        <v>110</v>
      </c>
      <c r="D48" s="294">
        <v>315</v>
      </c>
      <c r="E48" s="293">
        <v>412</v>
      </c>
      <c r="F48" s="287">
        <v>283</v>
      </c>
      <c r="G48" s="294">
        <v>695</v>
      </c>
      <c r="H48" s="293">
        <v>248</v>
      </c>
      <c r="I48" s="287">
        <v>139</v>
      </c>
      <c r="J48" s="294">
        <v>387</v>
      </c>
      <c r="K48" s="243">
        <v>1497</v>
      </c>
    </row>
    <row r="49" spans="1:11" ht="22.5" customHeight="1" thickBot="1">
      <c r="A49" s="122" t="s">
        <v>411</v>
      </c>
      <c r="B49" s="295">
        <v>5</v>
      </c>
      <c r="C49" s="297">
        <v>0</v>
      </c>
      <c r="D49" s="296">
        <v>5</v>
      </c>
      <c r="E49" s="295">
        <v>12</v>
      </c>
      <c r="F49" s="297">
        <v>0</v>
      </c>
      <c r="G49" s="296">
        <v>12</v>
      </c>
      <c r="H49" s="295">
        <v>5</v>
      </c>
      <c r="I49" s="297">
        <v>0</v>
      </c>
      <c r="J49" s="296">
        <v>5</v>
      </c>
      <c r="K49" s="298" t="s">
        <v>50</v>
      </c>
    </row>
    <row r="50" spans="1:11" s="10" customFormat="1" ht="22.5" customHeight="1" thickTop="1">
      <c r="A50" s="95" t="s">
        <v>99</v>
      </c>
      <c r="B50" s="299">
        <f>SUM(B20:B49)</f>
        <v>28152</v>
      </c>
      <c r="C50" s="300">
        <f>SUM(C20:C49)</f>
        <v>10273</v>
      </c>
      <c r="D50" s="288">
        <f>SUM(B50:C50)</f>
        <v>38425</v>
      </c>
      <c r="E50" s="301">
        <f>SUM(E20:E49)</f>
        <v>79533</v>
      </c>
      <c r="F50" s="262">
        <f>SUM(F20:F49)</f>
        <v>38836</v>
      </c>
      <c r="G50" s="288">
        <f>SUM(E50:F50)</f>
        <v>118369</v>
      </c>
      <c r="H50" s="302">
        <f>SUM(H20:H49)</f>
        <v>4433</v>
      </c>
      <c r="I50" s="262">
        <f>SUM(I20:I49)</f>
        <v>2151</v>
      </c>
      <c r="J50" s="288">
        <f>SUM(H50:I50)</f>
        <v>6584</v>
      </c>
      <c r="K50" s="303">
        <f>SUM(K20:K49)</f>
        <v>161745</v>
      </c>
    </row>
    <row r="51" spans="1:11" s="10" customFormat="1" ht="15" customHeight="1">
      <c r="A51" s="96" t="s">
        <v>410</v>
      </c>
      <c r="B51" s="96"/>
      <c r="C51" s="96"/>
      <c r="D51" s="96"/>
      <c r="E51" s="96"/>
      <c r="F51" s="96"/>
      <c r="G51" s="96"/>
      <c r="H51" s="97"/>
      <c r="I51" s="97"/>
      <c r="J51" s="97"/>
      <c r="K51" s="98"/>
    </row>
    <row r="52" ht="13.5">
      <c r="A52" s="16" t="s">
        <v>412</v>
      </c>
    </row>
  </sheetData>
  <mergeCells count="8">
    <mergeCell ref="A1:E1"/>
    <mergeCell ref="F1:G1"/>
    <mergeCell ref="K18:K19"/>
    <mergeCell ref="A18:A19"/>
    <mergeCell ref="B18:D18"/>
    <mergeCell ref="E18:G18"/>
    <mergeCell ref="H18:J18"/>
    <mergeCell ref="A15:K15"/>
  </mergeCells>
  <printOptions/>
  <pageMargins left="0.7874015748031497" right="0.7874015748031497" top="0.5905511811023623" bottom="0.5905511811023623" header="0.5118110236220472" footer="0.5118110236220472"/>
  <pageSetup fitToHeight="1" fitToWidth="1" horizontalDpi="600" verticalDpi="600" orientation="portrait" paperSize="9" scale="72"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K39"/>
  <sheetViews>
    <sheetView showZeros="0" workbookViewId="0" topLeftCell="A1">
      <selection activeCell="A1" sqref="A1"/>
    </sheetView>
  </sheetViews>
  <sheetFormatPr defaultColWidth="9.00390625" defaultRowHeight="13.5"/>
  <cols>
    <col min="1" max="10" width="8.625" style="16" customWidth="1"/>
    <col min="11" max="11" width="9.25390625" style="16" customWidth="1"/>
    <col min="12" max="16384" width="9.00390625" style="16" customWidth="1"/>
  </cols>
  <sheetData>
    <row r="1" ht="13.5">
      <c r="A1" s="16" t="s">
        <v>413</v>
      </c>
    </row>
    <row r="2" spans="1:10" ht="39.75" customHeight="1">
      <c r="A2" s="508"/>
      <c r="B2" s="507" t="s">
        <v>101</v>
      </c>
      <c r="C2" s="429"/>
      <c r="D2" s="508"/>
      <c r="E2" s="507" t="s">
        <v>306</v>
      </c>
      <c r="F2" s="429"/>
      <c r="G2" s="429"/>
      <c r="H2" s="508"/>
      <c r="I2" s="512" t="s">
        <v>265</v>
      </c>
      <c r="J2" s="510" t="s">
        <v>338</v>
      </c>
    </row>
    <row r="3" spans="1:10" ht="39.75" customHeight="1" thickBot="1">
      <c r="A3" s="509"/>
      <c r="B3" s="112" t="s">
        <v>102</v>
      </c>
      <c r="C3" s="102" t="s">
        <v>103</v>
      </c>
      <c r="D3" s="113" t="s">
        <v>99</v>
      </c>
      <c r="E3" s="112" t="s">
        <v>109</v>
      </c>
      <c r="F3" s="102" t="s">
        <v>110</v>
      </c>
      <c r="G3" s="102" t="s">
        <v>47</v>
      </c>
      <c r="H3" s="113" t="s">
        <v>99</v>
      </c>
      <c r="I3" s="513"/>
      <c r="J3" s="511"/>
    </row>
    <row r="4" spans="1:10" ht="19.5" customHeight="1" thickTop="1">
      <c r="A4" s="111" t="s">
        <v>313</v>
      </c>
      <c r="B4" s="132">
        <v>744</v>
      </c>
      <c r="C4" s="229">
        <v>14</v>
      </c>
      <c r="D4" s="204">
        <f aca="true" t="shared" si="0" ref="D4:D9">SUM(B4:C4)</f>
        <v>758</v>
      </c>
      <c r="E4" s="132">
        <f>807+25</f>
        <v>832</v>
      </c>
      <c r="F4" s="229">
        <v>163</v>
      </c>
      <c r="G4" s="229">
        <v>0</v>
      </c>
      <c r="H4" s="204">
        <f aca="true" t="shared" si="1" ref="H4:H9">SUM(E4:G4)</f>
        <v>995</v>
      </c>
      <c r="I4" s="268">
        <v>1029</v>
      </c>
      <c r="J4" s="132">
        <v>10308</v>
      </c>
    </row>
    <row r="5" spans="1:10" ht="19.5" customHeight="1">
      <c r="A5" s="105" t="s">
        <v>115</v>
      </c>
      <c r="B5" s="133">
        <v>202</v>
      </c>
      <c r="C5" s="239">
        <v>0</v>
      </c>
      <c r="D5" s="209">
        <f t="shared" si="0"/>
        <v>202</v>
      </c>
      <c r="E5" s="133">
        <f>157+24</f>
        <v>181</v>
      </c>
      <c r="F5" s="239">
        <f>183+5</f>
        <v>188</v>
      </c>
      <c r="G5" s="239">
        <v>0</v>
      </c>
      <c r="H5" s="209">
        <f t="shared" si="1"/>
        <v>369</v>
      </c>
      <c r="I5" s="269">
        <v>372</v>
      </c>
      <c r="J5" s="133">
        <v>3260</v>
      </c>
    </row>
    <row r="6" spans="1:10" ht="19.5" customHeight="1">
      <c r="A6" s="105" t="s">
        <v>314</v>
      </c>
      <c r="B6" s="133">
        <v>768</v>
      </c>
      <c r="C6" s="239">
        <v>3</v>
      </c>
      <c r="D6" s="209">
        <f t="shared" si="0"/>
        <v>771</v>
      </c>
      <c r="E6" s="133">
        <f>983+30</f>
        <v>1013</v>
      </c>
      <c r="F6" s="239">
        <f>96</f>
        <v>96</v>
      </c>
      <c r="G6" s="239">
        <v>1</v>
      </c>
      <c r="H6" s="209">
        <f t="shared" si="1"/>
        <v>1110</v>
      </c>
      <c r="I6" s="269">
        <v>1149</v>
      </c>
      <c r="J6" s="133">
        <v>6394</v>
      </c>
    </row>
    <row r="7" spans="1:10" ht="19.5" customHeight="1">
      <c r="A7" s="105" t="s">
        <v>127</v>
      </c>
      <c r="B7" s="133">
        <v>293</v>
      </c>
      <c r="C7" s="239">
        <v>6</v>
      </c>
      <c r="D7" s="209">
        <f t="shared" si="0"/>
        <v>299</v>
      </c>
      <c r="E7" s="133">
        <f>226+62</f>
        <v>288</v>
      </c>
      <c r="F7" s="239">
        <f>102</f>
        <v>102</v>
      </c>
      <c r="G7" s="239">
        <v>1</v>
      </c>
      <c r="H7" s="209">
        <f t="shared" si="1"/>
        <v>391</v>
      </c>
      <c r="I7" s="269">
        <v>459</v>
      </c>
      <c r="J7" s="133">
        <v>6240</v>
      </c>
    </row>
    <row r="8" spans="1:10" ht="19.5" customHeight="1" thickBot="1">
      <c r="A8" s="106" t="s">
        <v>94</v>
      </c>
      <c r="B8" s="134">
        <v>52</v>
      </c>
      <c r="C8" s="252">
        <v>0</v>
      </c>
      <c r="D8" s="214">
        <f t="shared" si="0"/>
        <v>52</v>
      </c>
      <c r="E8" s="134">
        <f>47+6</f>
        <v>53</v>
      </c>
      <c r="F8" s="252">
        <f>7</f>
        <v>7</v>
      </c>
      <c r="G8" s="252">
        <v>0</v>
      </c>
      <c r="H8" s="214">
        <f t="shared" si="1"/>
        <v>60</v>
      </c>
      <c r="I8" s="270">
        <v>65</v>
      </c>
      <c r="J8" s="134">
        <v>2229</v>
      </c>
    </row>
    <row r="9" spans="1:10" ht="19.5" customHeight="1" thickTop="1">
      <c r="A9" s="107" t="s">
        <v>99</v>
      </c>
      <c r="B9" s="135">
        <f>SUM(B4:B8)</f>
        <v>2059</v>
      </c>
      <c r="C9" s="136">
        <f>SUM(C4:C8)</f>
        <v>23</v>
      </c>
      <c r="D9" s="271">
        <f t="shared" si="0"/>
        <v>2082</v>
      </c>
      <c r="E9" s="135">
        <f>SUM(E4:E8)</f>
        <v>2367</v>
      </c>
      <c r="F9" s="136">
        <f>SUM(F4:F8)</f>
        <v>556</v>
      </c>
      <c r="G9" s="136">
        <f>SUM(G4:G8)</f>
        <v>2</v>
      </c>
      <c r="H9" s="271">
        <f t="shared" si="1"/>
        <v>2925</v>
      </c>
      <c r="I9" s="268">
        <f>SUM(I4:I8)</f>
        <v>3074</v>
      </c>
      <c r="J9" s="135">
        <f>SUM(J4:J8)</f>
        <v>28431</v>
      </c>
    </row>
    <row r="10" spans="1:10" ht="25.5" customHeight="1">
      <c r="A10" s="502"/>
      <c r="B10" s="503"/>
      <c r="C10" s="503"/>
      <c r="D10" s="503"/>
      <c r="E10" s="503"/>
      <c r="F10" s="503"/>
      <c r="G10" s="503"/>
      <c r="H10" s="503"/>
      <c r="I10" s="503"/>
      <c r="J10" s="503"/>
    </row>
    <row r="11" ht="18.75" customHeight="1">
      <c r="A11" s="16" t="s">
        <v>414</v>
      </c>
    </row>
    <row r="12" spans="1:11" ht="21" customHeight="1">
      <c r="A12" s="424" t="s">
        <v>142</v>
      </c>
      <c r="B12" s="424"/>
      <c r="C12" s="504"/>
      <c r="D12" s="419" t="s">
        <v>111</v>
      </c>
      <c r="E12" s="419"/>
      <c r="F12" s="501"/>
      <c r="G12" s="419" t="s">
        <v>105</v>
      </c>
      <c r="H12" s="419"/>
      <c r="I12" s="419"/>
      <c r="J12" s="419"/>
      <c r="K12" s="24"/>
    </row>
    <row r="13" spans="1:11" s="17" customFormat="1" ht="21" customHeight="1" thickBot="1">
      <c r="A13" s="28" t="s">
        <v>102</v>
      </c>
      <c r="B13" s="27" t="s">
        <v>103</v>
      </c>
      <c r="C13" s="49" t="s">
        <v>99</v>
      </c>
      <c r="D13" s="26" t="s">
        <v>102</v>
      </c>
      <c r="E13" s="27" t="s">
        <v>103</v>
      </c>
      <c r="F13" s="49" t="s">
        <v>99</v>
      </c>
      <c r="G13" s="26" t="s">
        <v>109</v>
      </c>
      <c r="H13" s="30" t="s">
        <v>110</v>
      </c>
      <c r="I13" s="41" t="s">
        <v>272</v>
      </c>
      <c r="J13" s="28" t="s">
        <v>99</v>
      </c>
      <c r="K13" s="42"/>
    </row>
    <row r="14" spans="1:11" ht="21" customHeight="1" thickTop="1">
      <c r="A14" s="206">
        <v>6</v>
      </c>
      <c r="B14" s="230">
        <v>4</v>
      </c>
      <c r="C14" s="204">
        <f>SUM(A14:B14)</f>
        <v>10</v>
      </c>
      <c r="D14" s="182">
        <v>98</v>
      </c>
      <c r="E14" s="230">
        <v>49</v>
      </c>
      <c r="F14" s="204">
        <f>SUM(D14:E14)</f>
        <v>147</v>
      </c>
      <c r="G14" s="182">
        <v>1065</v>
      </c>
      <c r="H14" s="183">
        <v>391</v>
      </c>
      <c r="I14" s="182">
        <v>75</v>
      </c>
      <c r="J14" s="206">
        <f>SUM(G14:I14)</f>
        <v>1531</v>
      </c>
      <c r="K14" s="24"/>
    </row>
    <row r="15" spans="1:10" ht="15" customHeight="1">
      <c r="A15" s="505" t="s">
        <v>330</v>
      </c>
      <c r="B15" s="506"/>
      <c r="C15" s="506"/>
      <c r="D15" s="506"/>
      <c r="E15" s="506"/>
      <c r="F15" s="506"/>
      <c r="G15" s="506"/>
      <c r="H15" s="506"/>
      <c r="I15" s="506"/>
      <c r="J15" s="506"/>
    </row>
    <row r="16" ht="25.5" customHeight="1"/>
    <row r="17" ht="13.5">
      <c r="A17" s="16" t="s">
        <v>415</v>
      </c>
    </row>
    <row r="18" spans="2:7" ht="13.5">
      <c r="B18" s="272">
        <f>D18+F18</f>
        <v>32</v>
      </c>
      <c r="C18" s="16" t="s">
        <v>232</v>
      </c>
      <c r="D18" s="273">
        <v>11</v>
      </c>
      <c r="E18" s="17" t="s">
        <v>93</v>
      </c>
      <c r="F18" s="273">
        <v>21</v>
      </c>
      <c r="G18" s="16" t="s">
        <v>285</v>
      </c>
    </row>
    <row r="19" ht="25.5" customHeight="1"/>
    <row r="20" spans="1:11" s="23" customFormat="1" ht="22.5" customHeight="1">
      <c r="A20" s="16" t="s">
        <v>416</v>
      </c>
      <c r="B20" s="16"/>
      <c r="C20" s="16"/>
      <c r="D20" s="16"/>
      <c r="E20" s="16"/>
      <c r="F20" s="16"/>
      <c r="G20" s="16"/>
      <c r="H20" s="16"/>
      <c r="I20" s="16"/>
      <c r="J20" s="16"/>
      <c r="K20" s="16"/>
    </row>
    <row r="21" spans="1:11" ht="13.5" customHeight="1">
      <c r="A21" s="436"/>
      <c r="B21" s="498" t="s">
        <v>376</v>
      </c>
      <c r="C21" s="499"/>
      <c r="D21" s="499"/>
      <c r="E21" s="499"/>
      <c r="F21" s="499"/>
      <c r="G21" s="500"/>
      <c r="H21" s="419" t="s">
        <v>246</v>
      </c>
      <c r="I21" s="419"/>
      <c r="J21" s="501"/>
      <c r="K21" s="440" t="s">
        <v>260</v>
      </c>
    </row>
    <row r="22" spans="1:11" ht="27" customHeight="1">
      <c r="A22" s="497"/>
      <c r="B22" s="489" t="s">
        <v>66</v>
      </c>
      <c r="C22" s="475"/>
      <c r="D22" s="490"/>
      <c r="E22" s="475" t="s">
        <v>377</v>
      </c>
      <c r="F22" s="475"/>
      <c r="G22" s="491"/>
      <c r="H22" s="475" t="s">
        <v>247</v>
      </c>
      <c r="I22" s="493" t="s">
        <v>378</v>
      </c>
      <c r="J22" s="495" t="s">
        <v>99</v>
      </c>
      <c r="K22" s="427"/>
    </row>
    <row r="23" spans="1:11" ht="38.25" customHeight="1" thickBot="1">
      <c r="A23" s="437"/>
      <c r="B23" s="369" t="s">
        <v>379</v>
      </c>
      <c r="C23" s="370" t="s">
        <v>261</v>
      </c>
      <c r="D23" s="371" t="s">
        <v>99</v>
      </c>
      <c r="E23" s="372" t="s">
        <v>379</v>
      </c>
      <c r="F23" s="373" t="s">
        <v>261</v>
      </c>
      <c r="G23" s="374" t="s">
        <v>99</v>
      </c>
      <c r="H23" s="492"/>
      <c r="I23" s="494"/>
      <c r="J23" s="496"/>
      <c r="K23" s="428"/>
    </row>
    <row r="24" spans="1:11" ht="19.5" customHeight="1" thickTop="1">
      <c r="A24" s="227" t="s">
        <v>92</v>
      </c>
      <c r="B24" s="375">
        <v>105</v>
      </c>
      <c r="C24" s="376">
        <v>25</v>
      </c>
      <c r="D24" s="136">
        <f>SUM(B24:C24)</f>
        <v>130</v>
      </c>
      <c r="E24" s="377">
        <v>640</v>
      </c>
      <c r="F24" s="376">
        <v>203</v>
      </c>
      <c r="G24" s="271">
        <f>SUM(E24:F24)</f>
        <v>843</v>
      </c>
      <c r="H24" s="197">
        <v>6894</v>
      </c>
      <c r="I24" s="230">
        <v>5423</v>
      </c>
      <c r="J24" s="311">
        <f>SUM(H24:I24)</f>
        <v>12317</v>
      </c>
      <c r="K24" s="195">
        <v>1664</v>
      </c>
    </row>
    <row r="25" spans="1:11" ht="19.5" customHeight="1">
      <c r="A25" s="231" t="s">
        <v>93</v>
      </c>
      <c r="B25" s="378">
        <v>75</v>
      </c>
      <c r="C25" s="243">
        <v>12</v>
      </c>
      <c r="D25" s="239">
        <f>SUM(B25:C25)</f>
        <v>87</v>
      </c>
      <c r="E25" s="379">
        <v>894</v>
      </c>
      <c r="F25" s="243">
        <v>143</v>
      </c>
      <c r="G25" s="209">
        <f>SUM(E25:F25)</f>
        <v>1037</v>
      </c>
      <c r="H25" s="194">
        <v>6924</v>
      </c>
      <c r="I25" s="232">
        <v>1005</v>
      </c>
      <c r="J25" s="311">
        <f>SUM(H25:I25)</f>
        <v>7929</v>
      </c>
      <c r="K25" s="195">
        <v>1</v>
      </c>
    </row>
    <row r="26" spans="1:11" ht="19.5" customHeight="1">
      <c r="A26" s="231" t="s">
        <v>95</v>
      </c>
      <c r="B26" s="378">
        <v>16</v>
      </c>
      <c r="C26" s="243">
        <v>7</v>
      </c>
      <c r="D26" s="239">
        <f aca="true" t="shared" si="2" ref="D26:D32">SUM(B26:C26)</f>
        <v>23</v>
      </c>
      <c r="E26" s="379">
        <v>36</v>
      </c>
      <c r="F26" s="243">
        <v>104</v>
      </c>
      <c r="G26" s="209">
        <f aca="true" t="shared" si="3" ref="G26:G34">SUM(E26:F26)</f>
        <v>140</v>
      </c>
      <c r="H26" s="194">
        <v>320</v>
      </c>
      <c r="I26" s="232">
        <v>827</v>
      </c>
      <c r="J26" s="311">
        <f>SUM(H26:I26)</f>
        <v>1147</v>
      </c>
      <c r="K26" s="195">
        <v>0</v>
      </c>
    </row>
    <row r="27" spans="1:11" ht="19.5" customHeight="1">
      <c r="A27" s="231" t="s">
        <v>97</v>
      </c>
      <c r="B27" s="378">
        <v>1</v>
      </c>
      <c r="C27" s="243">
        <v>1</v>
      </c>
      <c r="D27" s="239">
        <f>SUM(B27:C27)</f>
        <v>2</v>
      </c>
      <c r="E27" s="379">
        <v>4</v>
      </c>
      <c r="F27" s="243">
        <v>1</v>
      </c>
      <c r="G27" s="209">
        <f>SUM(E27:F27)</f>
        <v>5</v>
      </c>
      <c r="H27" s="293">
        <v>4</v>
      </c>
      <c r="I27" s="287">
        <v>6</v>
      </c>
      <c r="J27" s="311">
        <f>SUM(H27:I27)</f>
        <v>10</v>
      </c>
      <c r="K27" s="380">
        <v>0</v>
      </c>
    </row>
    <row r="28" spans="1:11" ht="19.5" customHeight="1">
      <c r="A28" s="231" t="s">
        <v>96</v>
      </c>
      <c r="B28" s="378">
        <v>8</v>
      </c>
      <c r="C28" s="243">
        <v>4</v>
      </c>
      <c r="D28" s="239">
        <f t="shared" si="2"/>
        <v>12</v>
      </c>
      <c r="E28" s="379">
        <v>38</v>
      </c>
      <c r="F28" s="243">
        <v>32</v>
      </c>
      <c r="G28" s="209">
        <f t="shared" si="3"/>
        <v>70</v>
      </c>
      <c r="H28" s="194">
        <v>227</v>
      </c>
      <c r="I28" s="232">
        <v>188</v>
      </c>
      <c r="J28" s="311">
        <f aca="true" t="shared" si="4" ref="J28:J34">SUM(H28:I28)</f>
        <v>415</v>
      </c>
      <c r="K28" s="195">
        <v>0</v>
      </c>
    </row>
    <row r="29" spans="1:11" ht="19.5" customHeight="1">
      <c r="A29" s="231" t="s">
        <v>209</v>
      </c>
      <c r="B29" s="378">
        <v>5</v>
      </c>
      <c r="C29" s="243">
        <v>2</v>
      </c>
      <c r="D29" s="239">
        <f t="shared" si="2"/>
        <v>7</v>
      </c>
      <c r="E29" s="379">
        <v>31</v>
      </c>
      <c r="F29" s="243">
        <v>4</v>
      </c>
      <c r="G29" s="209">
        <f t="shared" si="3"/>
        <v>35</v>
      </c>
      <c r="H29" s="194">
        <v>356</v>
      </c>
      <c r="I29" s="232">
        <v>10</v>
      </c>
      <c r="J29" s="311">
        <f t="shared" si="4"/>
        <v>366</v>
      </c>
      <c r="K29" s="380">
        <v>0</v>
      </c>
    </row>
    <row r="30" spans="1:11" ht="19.5" customHeight="1">
      <c r="A30" s="231" t="s">
        <v>199</v>
      </c>
      <c r="B30" s="378">
        <v>13</v>
      </c>
      <c r="C30" s="243">
        <v>5</v>
      </c>
      <c r="D30" s="239">
        <f t="shared" si="2"/>
        <v>18</v>
      </c>
      <c r="E30" s="381">
        <v>250</v>
      </c>
      <c r="F30" s="243">
        <v>32</v>
      </c>
      <c r="G30" s="209">
        <f t="shared" si="3"/>
        <v>282</v>
      </c>
      <c r="H30" s="194">
        <v>2271</v>
      </c>
      <c r="I30" s="232">
        <v>166</v>
      </c>
      <c r="J30" s="311">
        <f t="shared" si="4"/>
        <v>2437</v>
      </c>
      <c r="K30" s="380">
        <v>0</v>
      </c>
    </row>
    <row r="31" spans="1:11" ht="19.5" customHeight="1">
      <c r="A31" s="231" t="s">
        <v>210</v>
      </c>
      <c r="B31" s="378">
        <v>7</v>
      </c>
      <c r="C31" s="243">
        <v>5</v>
      </c>
      <c r="D31" s="239">
        <f t="shared" si="2"/>
        <v>12</v>
      </c>
      <c r="E31" s="379">
        <v>52</v>
      </c>
      <c r="F31" s="243">
        <v>106</v>
      </c>
      <c r="G31" s="209">
        <f t="shared" si="3"/>
        <v>158</v>
      </c>
      <c r="H31" s="194">
        <v>363</v>
      </c>
      <c r="I31" s="232">
        <v>284</v>
      </c>
      <c r="J31" s="311">
        <f t="shared" si="4"/>
        <v>647</v>
      </c>
      <c r="K31" s="380">
        <v>0</v>
      </c>
    </row>
    <row r="32" spans="1:11" ht="19.5" customHeight="1">
      <c r="A32" s="231" t="s">
        <v>200</v>
      </c>
      <c r="B32" s="378">
        <v>7</v>
      </c>
      <c r="C32" s="243">
        <v>2</v>
      </c>
      <c r="D32" s="239">
        <f t="shared" si="2"/>
        <v>9</v>
      </c>
      <c r="E32" s="379">
        <v>71</v>
      </c>
      <c r="F32" s="243">
        <v>26</v>
      </c>
      <c r="G32" s="209">
        <f t="shared" si="3"/>
        <v>97</v>
      </c>
      <c r="H32" s="194">
        <v>1090</v>
      </c>
      <c r="I32" s="232">
        <v>122</v>
      </c>
      <c r="J32" s="311">
        <f t="shared" si="4"/>
        <v>1212</v>
      </c>
      <c r="K32" s="380">
        <v>0</v>
      </c>
    </row>
    <row r="33" spans="1:11" ht="19.5" customHeight="1">
      <c r="A33" s="231" t="s">
        <v>277</v>
      </c>
      <c r="B33" s="378">
        <v>22</v>
      </c>
      <c r="C33" s="243">
        <v>22</v>
      </c>
      <c r="D33" s="239">
        <f>SUM(B33:C33)</f>
        <v>44</v>
      </c>
      <c r="E33" s="379">
        <v>562</v>
      </c>
      <c r="F33" s="243">
        <v>531</v>
      </c>
      <c r="G33" s="209">
        <f t="shared" si="3"/>
        <v>1093</v>
      </c>
      <c r="H33" s="194">
        <v>7763</v>
      </c>
      <c r="I33" s="232">
        <v>5259</v>
      </c>
      <c r="J33" s="311">
        <f t="shared" si="4"/>
        <v>13022</v>
      </c>
      <c r="K33" s="380">
        <v>0</v>
      </c>
    </row>
    <row r="34" spans="1:11" ht="19.5" customHeight="1">
      <c r="A34" s="231" t="s">
        <v>312</v>
      </c>
      <c r="B34" s="378">
        <v>32</v>
      </c>
      <c r="C34" s="243">
        <v>16</v>
      </c>
      <c r="D34" s="239">
        <f>SUM(B34:C34)</f>
        <v>48</v>
      </c>
      <c r="E34" s="379">
        <v>206</v>
      </c>
      <c r="F34" s="243">
        <v>53</v>
      </c>
      <c r="G34" s="209">
        <f t="shared" si="3"/>
        <v>259</v>
      </c>
      <c r="H34" s="194">
        <v>1384</v>
      </c>
      <c r="I34" s="232">
        <v>326</v>
      </c>
      <c r="J34" s="311">
        <f t="shared" si="4"/>
        <v>1710</v>
      </c>
      <c r="K34" s="195">
        <v>0</v>
      </c>
    </row>
    <row r="35" spans="1:11" ht="19.5" customHeight="1">
      <c r="A35" s="238" t="s">
        <v>98</v>
      </c>
      <c r="B35" s="382" t="s">
        <v>360</v>
      </c>
      <c r="C35" s="125" t="s">
        <v>360</v>
      </c>
      <c r="D35" s="77" t="s">
        <v>360</v>
      </c>
      <c r="E35" s="383" t="s">
        <v>360</v>
      </c>
      <c r="F35" s="341" t="s">
        <v>360</v>
      </c>
      <c r="G35" s="127" t="s">
        <v>360</v>
      </c>
      <c r="H35" s="71" t="s">
        <v>360</v>
      </c>
      <c r="I35" s="72" t="s">
        <v>360</v>
      </c>
      <c r="J35" s="384" t="s">
        <v>360</v>
      </c>
      <c r="K35" s="380"/>
    </row>
    <row r="36" spans="1:11" ht="19.5" customHeight="1" thickBot="1">
      <c r="A36" s="313" t="s">
        <v>393</v>
      </c>
      <c r="B36" s="378"/>
      <c r="C36" s="243">
        <v>1</v>
      </c>
      <c r="D36" s="239">
        <f>SUM(B36:C36)</f>
        <v>1</v>
      </c>
      <c r="E36" s="379"/>
      <c r="F36" s="243">
        <v>1</v>
      </c>
      <c r="G36" s="209">
        <f>SUM(E36:F36)</f>
        <v>1</v>
      </c>
      <c r="H36" s="194">
        <v>0</v>
      </c>
      <c r="I36" s="232">
        <v>7</v>
      </c>
      <c r="J36" s="311">
        <f>SUM(H36:I36)</f>
        <v>7</v>
      </c>
      <c r="K36" s="385"/>
    </row>
    <row r="37" spans="1:11" ht="19.5" customHeight="1" thickTop="1">
      <c r="A37" s="240" t="s">
        <v>301</v>
      </c>
      <c r="B37" s="386">
        <v>159</v>
      </c>
      <c r="C37" s="387">
        <v>84</v>
      </c>
      <c r="D37" s="387">
        <f>SUM(B37:C37)</f>
        <v>243</v>
      </c>
      <c r="E37" s="388">
        <f aca="true" t="shared" si="5" ref="E37:K37">SUM(E24:E36)</f>
        <v>2784</v>
      </c>
      <c r="F37" s="135">
        <v>84</v>
      </c>
      <c r="G37" s="271">
        <f t="shared" si="5"/>
        <v>4020</v>
      </c>
      <c r="H37" s="197">
        <f t="shared" si="5"/>
        <v>27596</v>
      </c>
      <c r="I37" s="230">
        <f t="shared" si="5"/>
        <v>13623</v>
      </c>
      <c r="J37" s="186">
        <f t="shared" si="5"/>
        <v>41219</v>
      </c>
      <c r="K37" s="199">
        <f t="shared" si="5"/>
        <v>1665</v>
      </c>
    </row>
    <row r="38" ht="13.5">
      <c r="A38" s="131" t="s">
        <v>83</v>
      </c>
    </row>
    <row r="39" s="257" customFormat="1" ht="13.5">
      <c r="C39" s="121"/>
    </row>
  </sheetData>
  <mergeCells count="19">
    <mergeCell ref="B2:D2"/>
    <mergeCell ref="E2:H2"/>
    <mergeCell ref="A2:A3"/>
    <mergeCell ref="J2:J3"/>
    <mergeCell ref="I2:I3"/>
    <mergeCell ref="A21:A23"/>
    <mergeCell ref="B21:G21"/>
    <mergeCell ref="H21:J21"/>
    <mergeCell ref="A10:J10"/>
    <mergeCell ref="A12:C12"/>
    <mergeCell ref="D12:F12"/>
    <mergeCell ref="G12:J12"/>
    <mergeCell ref="A15:J15"/>
    <mergeCell ref="K21:K23"/>
    <mergeCell ref="B22:D22"/>
    <mergeCell ref="E22:G22"/>
    <mergeCell ref="H22:H23"/>
    <mergeCell ref="I22:I23"/>
    <mergeCell ref="J22:J23"/>
  </mergeCells>
  <printOptions/>
  <pageMargins left="0.7874015748031497" right="0.58" top="0.5905511811023623" bottom="0.1968503937007874" header="0.5118110236220472" footer="0.45"/>
  <pageSetup horizontalDpi="600" verticalDpi="600" orientation="portrait" paperSize="9" scale="93"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dimension ref="A1:V46"/>
  <sheetViews>
    <sheetView workbookViewId="0" topLeftCell="A1">
      <selection activeCell="A1" sqref="A1"/>
    </sheetView>
  </sheetViews>
  <sheetFormatPr defaultColWidth="9.00390625" defaultRowHeight="13.5"/>
  <cols>
    <col min="1" max="1" width="11.00390625" style="16" customWidth="1"/>
    <col min="2" max="12" width="10.625" style="16" customWidth="1"/>
    <col min="13" max="16384" width="9.00390625" style="16" customWidth="1"/>
  </cols>
  <sheetData>
    <row r="1" spans="1:10" s="23" customFormat="1" ht="15" customHeight="1">
      <c r="A1" s="23" t="s">
        <v>45</v>
      </c>
      <c r="C1" s="389"/>
      <c r="D1" s="389"/>
      <c r="E1" s="389"/>
      <c r="F1" s="389"/>
      <c r="G1" s="47"/>
      <c r="H1" s="47"/>
      <c r="I1" s="47"/>
      <c r="J1" s="47"/>
    </row>
    <row r="2" spans="1:9" ht="13.5" customHeight="1">
      <c r="A2" s="442"/>
      <c r="B2" s="489" t="s">
        <v>386</v>
      </c>
      <c r="C2" s="475"/>
      <c r="D2" s="475"/>
      <c r="E2" s="475"/>
      <c r="F2" s="490"/>
      <c r="G2" s="390"/>
      <c r="H2" s="390"/>
      <c r="I2" s="87"/>
    </row>
    <row r="3" spans="1:6" ht="27" customHeight="1" thickBot="1">
      <c r="A3" s="439"/>
      <c r="B3" s="391" t="s">
        <v>211</v>
      </c>
      <c r="C3" s="392" t="s">
        <v>387</v>
      </c>
      <c r="D3" s="392" t="s">
        <v>46</v>
      </c>
      <c r="E3" s="341" t="s">
        <v>348</v>
      </c>
      <c r="F3" s="393" t="s">
        <v>99</v>
      </c>
    </row>
    <row r="4" spans="1:6" ht="19.5" customHeight="1" thickTop="1">
      <c r="A4" s="181" t="s">
        <v>417</v>
      </c>
      <c r="B4" s="413">
        <v>70295</v>
      </c>
      <c r="C4" s="417">
        <v>25119</v>
      </c>
      <c r="D4" s="394">
        <v>119949</v>
      </c>
      <c r="E4" s="395">
        <v>10277</v>
      </c>
      <c r="F4" s="396">
        <f aca="true" t="shared" si="0" ref="F4:F15">SUM(B4:E4)</f>
        <v>225640</v>
      </c>
    </row>
    <row r="5" spans="1:6" ht="19.5" customHeight="1">
      <c r="A5" s="129" t="s">
        <v>93</v>
      </c>
      <c r="B5" s="414">
        <v>68911</v>
      </c>
      <c r="C5" s="418">
        <v>26606</v>
      </c>
      <c r="D5" s="394">
        <v>112002</v>
      </c>
      <c r="E5" s="397">
        <v>8572</v>
      </c>
      <c r="F5" s="396">
        <f t="shared" si="0"/>
        <v>216091</v>
      </c>
    </row>
    <row r="6" spans="1:6" ht="19.5" customHeight="1">
      <c r="A6" s="129" t="s">
        <v>95</v>
      </c>
      <c r="B6" s="414">
        <v>16932</v>
      </c>
      <c r="C6" s="418">
        <v>5294</v>
      </c>
      <c r="D6" s="394">
        <v>27112</v>
      </c>
      <c r="E6" s="397">
        <v>2176</v>
      </c>
      <c r="F6" s="396">
        <f t="shared" si="0"/>
        <v>51514</v>
      </c>
    </row>
    <row r="7" spans="1:6" ht="19.5" customHeight="1">
      <c r="A7" s="129" t="s">
        <v>97</v>
      </c>
      <c r="B7" s="415">
        <f>309+402</f>
        <v>711</v>
      </c>
      <c r="C7" s="420" t="s">
        <v>388</v>
      </c>
      <c r="D7" s="418">
        <v>278</v>
      </c>
      <c r="E7" s="398">
        <v>32</v>
      </c>
      <c r="F7" s="396">
        <f t="shared" si="0"/>
        <v>1021</v>
      </c>
    </row>
    <row r="8" spans="1:6" ht="19.5" customHeight="1">
      <c r="A8" s="129" t="s">
        <v>96</v>
      </c>
      <c r="B8" s="414">
        <v>32728</v>
      </c>
      <c r="C8" s="418">
        <v>4185</v>
      </c>
      <c r="D8" s="394">
        <v>38261</v>
      </c>
      <c r="E8" s="397">
        <v>2899</v>
      </c>
      <c r="F8" s="396">
        <f t="shared" si="0"/>
        <v>78073</v>
      </c>
    </row>
    <row r="9" spans="1:6" ht="19.5" customHeight="1">
      <c r="A9" s="231" t="s">
        <v>209</v>
      </c>
      <c r="B9" s="414">
        <v>3424</v>
      </c>
      <c r="C9" s="418">
        <v>81</v>
      </c>
      <c r="D9" s="394">
        <v>2109</v>
      </c>
      <c r="E9" s="397">
        <v>3</v>
      </c>
      <c r="F9" s="396">
        <f t="shared" si="0"/>
        <v>5617</v>
      </c>
    </row>
    <row r="10" spans="1:6" ht="19.5" customHeight="1">
      <c r="A10" s="231" t="s">
        <v>199</v>
      </c>
      <c r="B10" s="414">
        <v>4903</v>
      </c>
      <c r="C10" s="418">
        <v>900</v>
      </c>
      <c r="D10" s="394">
        <v>7463</v>
      </c>
      <c r="E10" s="397">
        <v>98</v>
      </c>
      <c r="F10" s="396">
        <f t="shared" si="0"/>
        <v>13364</v>
      </c>
    </row>
    <row r="11" spans="1:6" ht="19.5" customHeight="1">
      <c r="A11" s="231" t="s">
        <v>210</v>
      </c>
      <c r="B11" s="414">
        <v>5448</v>
      </c>
      <c r="C11" s="418">
        <v>1948</v>
      </c>
      <c r="D11" s="394">
        <v>6433</v>
      </c>
      <c r="E11" s="397">
        <v>691</v>
      </c>
      <c r="F11" s="396">
        <f t="shared" si="0"/>
        <v>14520</v>
      </c>
    </row>
    <row r="12" spans="1:6" ht="19.5" customHeight="1">
      <c r="A12" s="231" t="s">
        <v>200</v>
      </c>
      <c r="B12" s="414">
        <v>13250</v>
      </c>
      <c r="C12" s="418">
        <v>1790</v>
      </c>
      <c r="D12" s="394">
        <v>15633</v>
      </c>
      <c r="E12" s="397">
        <v>1824</v>
      </c>
      <c r="F12" s="396">
        <f t="shared" si="0"/>
        <v>32497</v>
      </c>
    </row>
    <row r="13" spans="1:6" ht="19.5" customHeight="1">
      <c r="A13" s="231" t="s">
        <v>277</v>
      </c>
      <c r="B13" s="414">
        <f>28500-13373-309</f>
        <v>14818</v>
      </c>
      <c r="C13" s="399" t="s">
        <v>391</v>
      </c>
      <c r="D13" s="399" t="s">
        <v>389</v>
      </c>
      <c r="E13" s="400" t="s">
        <v>389</v>
      </c>
      <c r="F13" s="396">
        <f t="shared" si="0"/>
        <v>14818</v>
      </c>
    </row>
    <row r="14" spans="1:6" ht="19.5" customHeight="1">
      <c r="A14" s="129" t="s">
        <v>312</v>
      </c>
      <c r="B14" s="414">
        <v>28347</v>
      </c>
      <c r="C14" s="418">
        <v>10749</v>
      </c>
      <c r="D14" s="394">
        <v>49801</v>
      </c>
      <c r="E14" s="397">
        <v>3447</v>
      </c>
      <c r="F14" s="396">
        <f t="shared" si="0"/>
        <v>92344</v>
      </c>
    </row>
    <row r="15" spans="1:6" ht="19.5" customHeight="1" thickBot="1">
      <c r="A15" s="130" t="s">
        <v>390</v>
      </c>
      <c r="B15" s="401">
        <v>14095</v>
      </c>
      <c r="C15" s="402" t="s">
        <v>389</v>
      </c>
      <c r="D15" s="402" t="s">
        <v>389</v>
      </c>
      <c r="E15" s="403" t="s">
        <v>389</v>
      </c>
      <c r="F15" s="404">
        <f t="shared" si="0"/>
        <v>14095</v>
      </c>
    </row>
    <row r="16" spans="1:6" ht="19.5" customHeight="1" thickTop="1">
      <c r="A16" s="181" t="s">
        <v>99</v>
      </c>
      <c r="B16" s="416">
        <f>SUM(B4:B15)</f>
        <v>273862</v>
      </c>
      <c r="C16" s="405">
        <f>SUM(C4:C15)</f>
        <v>76672</v>
      </c>
      <c r="D16" s="405">
        <f>SUM(D4:D15)</f>
        <v>379041</v>
      </c>
      <c r="E16" s="406">
        <f>SUM(E4:E15)</f>
        <v>30019</v>
      </c>
      <c r="F16" s="407">
        <f>SUM(F4:F15)</f>
        <v>759594</v>
      </c>
    </row>
    <row r="17" spans="1:12" ht="27.75" customHeight="1">
      <c r="A17" s="534" t="s">
        <v>527</v>
      </c>
      <c r="B17" s="535"/>
      <c r="C17" s="535"/>
      <c r="D17" s="535"/>
      <c r="E17" s="535"/>
      <c r="F17" s="535"/>
      <c r="G17" s="535"/>
      <c r="H17" s="535"/>
      <c r="I17" s="535"/>
      <c r="J17" s="535"/>
      <c r="K17" s="408"/>
      <c r="L17" s="408"/>
    </row>
    <row r="18" spans="1:10" ht="13.5" customHeight="1">
      <c r="A18" s="535"/>
      <c r="B18" s="535"/>
      <c r="C18" s="535"/>
      <c r="D18" s="535"/>
      <c r="E18" s="535"/>
      <c r="F18" s="535"/>
      <c r="G18" s="535"/>
      <c r="H18" s="535"/>
      <c r="I18" s="535"/>
      <c r="J18" s="535"/>
    </row>
    <row r="19" spans="1:12" s="257" customFormat="1" ht="13.5" customHeight="1">
      <c r="A19" s="258"/>
      <c r="B19" s="258"/>
      <c r="C19" s="258"/>
      <c r="D19" s="258"/>
      <c r="E19" s="258"/>
      <c r="F19" s="258"/>
      <c r="G19" s="258"/>
      <c r="H19" s="258"/>
      <c r="I19" s="258"/>
      <c r="J19" s="258"/>
      <c r="K19" s="16"/>
      <c r="L19" s="16"/>
    </row>
    <row r="20" ht="18" customHeight="1">
      <c r="A20" s="16" t="s">
        <v>418</v>
      </c>
    </row>
    <row r="21" ht="13.5" customHeight="1">
      <c r="A21" s="16" t="s">
        <v>233</v>
      </c>
    </row>
    <row r="22" spans="1:10" s="44" customFormat="1" ht="19.5" customHeight="1">
      <c r="A22" s="78" t="s">
        <v>106</v>
      </c>
      <c r="B22" s="81" t="s">
        <v>107</v>
      </c>
      <c r="C22" s="79" t="s">
        <v>108</v>
      </c>
      <c r="D22" s="80" t="s">
        <v>286</v>
      </c>
      <c r="E22" s="77" t="s">
        <v>99</v>
      </c>
      <c r="G22" s="45"/>
      <c r="H22" s="45"/>
      <c r="I22" s="45"/>
      <c r="J22" s="46"/>
    </row>
    <row r="23" spans="1:10" ht="19.5" customHeight="1">
      <c r="A23" s="216">
        <v>542</v>
      </c>
      <c r="B23" s="190">
        <v>239</v>
      </c>
      <c r="C23" s="194">
        <v>10</v>
      </c>
      <c r="D23" s="232">
        <v>16</v>
      </c>
      <c r="E23" s="239">
        <f>SUM(A23:D23)</f>
        <v>807</v>
      </c>
      <c r="F23" s="259"/>
      <c r="G23" s="45"/>
      <c r="H23" s="45"/>
      <c r="I23" s="45"/>
      <c r="J23" s="22"/>
    </row>
    <row r="24" spans="10:22" ht="13.5" customHeight="1">
      <c r="J24" s="22"/>
      <c r="N24" s="21"/>
      <c r="O24" s="11"/>
      <c r="P24" s="11"/>
      <c r="Q24" s="11"/>
      <c r="R24" s="11"/>
      <c r="S24" s="21"/>
      <c r="T24" s="45"/>
      <c r="U24" s="45"/>
      <c r="V24" s="45"/>
    </row>
    <row r="25" spans="1:10" ht="22.5" customHeight="1">
      <c r="A25" s="47" t="s">
        <v>234</v>
      </c>
      <c r="B25" s="47"/>
      <c r="C25" s="47"/>
      <c r="D25" s="47"/>
      <c r="E25" s="47"/>
      <c r="F25" s="21"/>
      <c r="G25" s="21"/>
      <c r="H25" s="21"/>
      <c r="I25" s="21"/>
      <c r="J25" s="22"/>
    </row>
    <row r="26" spans="1:10" ht="30" customHeight="1" thickBot="1">
      <c r="A26" s="49" t="s">
        <v>223</v>
      </c>
      <c r="B26" s="445" t="s">
        <v>224</v>
      </c>
      <c r="C26" s="528"/>
      <c r="D26" s="11"/>
      <c r="E26" s="11"/>
      <c r="F26" s="21"/>
      <c r="G26" s="21"/>
      <c r="H26" s="21"/>
      <c r="I26" s="21"/>
      <c r="J26" s="22"/>
    </row>
    <row r="27" spans="1:10" ht="19.5" customHeight="1" thickTop="1">
      <c r="A27" s="181" t="s">
        <v>92</v>
      </c>
      <c r="B27" s="529">
        <v>10279</v>
      </c>
      <c r="C27" s="530"/>
      <c r="D27" s="145"/>
      <c r="E27" s="11"/>
      <c r="F27" s="21"/>
      <c r="G27" s="21"/>
      <c r="H27" s="21"/>
      <c r="I27" s="21"/>
      <c r="J27" s="22"/>
    </row>
    <row r="28" spans="1:10" ht="19.5" customHeight="1">
      <c r="A28" s="105" t="s">
        <v>93</v>
      </c>
      <c r="B28" s="518">
        <v>20711</v>
      </c>
      <c r="C28" s="519"/>
      <c r="D28" s="145"/>
      <c r="F28" s="21"/>
      <c r="J28" s="260"/>
    </row>
    <row r="29" spans="1:4" ht="19.5" customHeight="1">
      <c r="A29" s="105" t="s">
        <v>95</v>
      </c>
      <c r="B29" s="518">
        <v>2466</v>
      </c>
      <c r="C29" s="519"/>
      <c r="D29" s="145"/>
    </row>
    <row r="30" spans="1:4" ht="19.5" customHeight="1">
      <c r="A30" s="105" t="s">
        <v>96</v>
      </c>
      <c r="B30" s="518">
        <v>3373</v>
      </c>
      <c r="C30" s="519"/>
      <c r="D30" s="145"/>
    </row>
    <row r="31" spans="1:4" ht="19.5" customHeight="1">
      <c r="A31" s="105" t="s">
        <v>209</v>
      </c>
      <c r="B31" s="518">
        <v>393</v>
      </c>
      <c r="C31" s="519"/>
      <c r="D31" s="145"/>
    </row>
    <row r="32" spans="1:4" ht="19.5" customHeight="1">
      <c r="A32" s="105" t="s">
        <v>199</v>
      </c>
      <c r="B32" s="518">
        <v>982</v>
      </c>
      <c r="C32" s="519"/>
      <c r="D32" s="145"/>
    </row>
    <row r="33" spans="1:4" ht="19.5" customHeight="1">
      <c r="A33" s="105" t="s">
        <v>210</v>
      </c>
      <c r="B33" s="518">
        <v>883</v>
      </c>
      <c r="C33" s="519"/>
      <c r="D33" s="145"/>
    </row>
    <row r="34" spans="1:4" ht="19.5" customHeight="1">
      <c r="A34" s="105" t="s">
        <v>200</v>
      </c>
      <c r="B34" s="518">
        <v>1183</v>
      </c>
      <c r="C34" s="519"/>
      <c r="D34" s="145"/>
    </row>
    <row r="35" spans="1:4" ht="19.5" customHeight="1" thickBot="1">
      <c r="A35" s="106" t="s">
        <v>312</v>
      </c>
      <c r="B35" s="541">
        <v>3178</v>
      </c>
      <c r="C35" s="542"/>
      <c r="D35" s="145"/>
    </row>
    <row r="36" spans="1:3" ht="19.5" customHeight="1" thickTop="1">
      <c r="A36" s="261" t="s">
        <v>99</v>
      </c>
      <c r="B36" s="539">
        <f>SUM(B27:C35)</f>
        <v>43448</v>
      </c>
      <c r="C36" s="540"/>
    </row>
    <row r="37" spans="1:8" ht="19.5" customHeight="1">
      <c r="A37" s="43"/>
      <c r="B37" s="43"/>
      <c r="C37" s="43"/>
      <c r="D37" s="43"/>
      <c r="E37" s="43"/>
      <c r="F37" s="43"/>
      <c r="G37" s="43"/>
      <c r="H37" s="43"/>
    </row>
    <row r="38" ht="24.75" customHeight="1">
      <c r="A38" s="16" t="s">
        <v>419</v>
      </c>
    </row>
    <row r="39" spans="1:5" ht="24.75" customHeight="1">
      <c r="A39" s="536" t="s">
        <v>298</v>
      </c>
      <c r="B39" s="536"/>
      <c r="C39" s="537" t="s">
        <v>299</v>
      </c>
      <c r="D39" s="538"/>
      <c r="E39" s="263">
        <v>105824</v>
      </c>
    </row>
    <row r="40" spans="1:5" ht="24.75" customHeight="1">
      <c r="A40" s="520" t="s">
        <v>300</v>
      </c>
      <c r="B40" s="520"/>
      <c r="C40" s="522" t="s">
        <v>267</v>
      </c>
      <c r="D40" s="523"/>
      <c r="E40" s="264">
        <v>5132</v>
      </c>
    </row>
    <row r="41" spans="1:5" ht="24.75" customHeight="1">
      <c r="A41" s="520"/>
      <c r="B41" s="520"/>
      <c r="C41" s="524" t="s">
        <v>148</v>
      </c>
      <c r="D41" s="525"/>
      <c r="E41" s="265">
        <v>3025</v>
      </c>
    </row>
    <row r="42" spans="1:5" ht="24.75" customHeight="1">
      <c r="A42" s="520"/>
      <c r="B42" s="520"/>
      <c r="C42" s="524" t="s">
        <v>329</v>
      </c>
      <c r="D42" s="525"/>
      <c r="E42" s="531">
        <v>927</v>
      </c>
    </row>
    <row r="43" spans="1:5" ht="24.75" customHeight="1">
      <c r="A43" s="520"/>
      <c r="B43" s="520"/>
      <c r="C43" s="524"/>
      <c r="D43" s="525"/>
      <c r="E43" s="532"/>
    </row>
    <row r="44" spans="1:5" ht="18" customHeight="1">
      <c r="A44" s="520"/>
      <c r="B44" s="520"/>
      <c r="C44" s="526"/>
      <c r="D44" s="527"/>
      <c r="E44" s="533"/>
    </row>
    <row r="45" spans="1:5" ht="24.75" customHeight="1" thickBot="1">
      <c r="A45" s="521"/>
      <c r="B45" s="521"/>
      <c r="C45" s="514" t="s">
        <v>99</v>
      </c>
      <c r="D45" s="515"/>
      <c r="E45" s="266">
        <f>SUM(E40:E44)</f>
        <v>9084</v>
      </c>
    </row>
    <row r="46" spans="1:5" ht="24.75" customHeight="1" thickTop="1">
      <c r="A46" s="516" t="s">
        <v>301</v>
      </c>
      <c r="B46" s="516"/>
      <c r="C46" s="516"/>
      <c r="D46" s="517"/>
      <c r="E46" s="267">
        <f>E39+E45</f>
        <v>114908</v>
      </c>
    </row>
  </sheetData>
  <mergeCells count="23">
    <mergeCell ref="A17:J18"/>
    <mergeCell ref="A2:A3"/>
    <mergeCell ref="B2:F2"/>
    <mergeCell ref="A39:B39"/>
    <mergeCell ref="C39:D39"/>
    <mergeCell ref="B30:C30"/>
    <mergeCell ref="B36:C36"/>
    <mergeCell ref="B33:C33"/>
    <mergeCell ref="B35:C35"/>
    <mergeCell ref="B29:C29"/>
    <mergeCell ref="B26:C26"/>
    <mergeCell ref="B27:C27"/>
    <mergeCell ref="B28:C28"/>
    <mergeCell ref="E42:E44"/>
    <mergeCell ref="C45:D45"/>
    <mergeCell ref="A46:D46"/>
    <mergeCell ref="B31:C31"/>
    <mergeCell ref="A40:B45"/>
    <mergeCell ref="C40:D40"/>
    <mergeCell ref="C41:D41"/>
    <mergeCell ref="C42:D44"/>
    <mergeCell ref="B32:C32"/>
    <mergeCell ref="B34:C34"/>
  </mergeCells>
  <printOptions/>
  <pageMargins left="0.3937007874015748" right="0.3937007874015748" top="0.5905511811023623" bottom="0.5905511811023623" header="0.5118110236220472" footer="0.5118110236220472"/>
  <pageSetup horizontalDpi="600" verticalDpi="600" orientation="portrait" paperSize="9" scale="84"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N36"/>
  <sheetViews>
    <sheetView workbookViewId="0" topLeftCell="A1">
      <selection activeCell="A1" sqref="A1"/>
    </sheetView>
  </sheetViews>
  <sheetFormatPr defaultColWidth="9.00390625" defaultRowHeight="13.5"/>
  <cols>
    <col min="1" max="3" width="9.00390625" style="16" customWidth="1"/>
    <col min="4" max="4" width="10.00390625" style="16" bestFit="1" customWidth="1"/>
    <col min="5" max="5" width="11.375" style="16" bestFit="1" customWidth="1"/>
    <col min="6" max="6" width="9.125" style="16" bestFit="1" customWidth="1"/>
    <col min="7" max="16384" width="9.00390625" style="16" customWidth="1"/>
  </cols>
  <sheetData>
    <row r="1" spans="1:7" ht="19.5" customHeight="1">
      <c r="A1" s="16" t="s">
        <v>420</v>
      </c>
      <c r="E1" s="17"/>
      <c r="F1" s="17"/>
      <c r="G1" s="17"/>
    </row>
    <row r="2" spans="1:4" s="17" customFormat="1" ht="19.5" customHeight="1">
      <c r="A2" s="108"/>
      <c r="B2" s="103" t="s">
        <v>307</v>
      </c>
      <c r="C2" s="18" t="s">
        <v>308</v>
      </c>
      <c r="D2" s="18" t="s">
        <v>99</v>
      </c>
    </row>
    <row r="3" spans="1:4" ht="19.5" customHeight="1">
      <c r="A3" s="105" t="s">
        <v>92</v>
      </c>
      <c r="B3" s="133">
        <v>51049</v>
      </c>
      <c r="C3" s="239">
        <v>2337</v>
      </c>
      <c r="D3" s="239">
        <f aca="true" t="shared" si="0" ref="D3:D10">SUM(B3:C3)</f>
        <v>53386</v>
      </c>
    </row>
    <row r="4" spans="1:4" ht="19.5" customHeight="1">
      <c r="A4" s="105" t="s">
        <v>93</v>
      </c>
      <c r="B4" s="133">
        <f>1584+1857+1230+1724+1699+1399+993+1835+971+1461+1252+1638</f>
        <v>17643</v>
      </c>
      <c r="C4" s="239">
        <f>63+86+64+97+70+54+56+83+28+77+55+86</f>
        <v>819</v>
      </c>
      <c r="D4" s="239">
        <f t="shared" si="0"/>
        <v>18462</v>
      </c>
    </row>
    <row r="5" spans="1:4" ht="19.5" customHeight="1">
      <c r="A5" s="105" t="s">
        <v>95</v>
      </c>
      <c r="B5" s="133">
        <v>1386</v>
      </c>
      <c r="C5" s="239"/>
      <c r="D5" s="239">
        <f t="shared" si="0"/>
        <v>1386</v>
      </c>
    </row>
    <row r="6" spans="1:4" ht="19.5" customHeight="1">
      <c r="A6" s="105" t="s">
        <v>209</v>
      </c>
      <c r="B6" s="133">
        <v>758</v>
      </c>
      <c r="C6" s="239"/>
      <c r="D6" s="239">
        <f t="shared" si="0"/>
        <v>758</v>
      </c>
    </row>
    <row r="7" spans="1:4" ht="19.5" customHeight="1">
      <c r="A7" s="105" t="s">
        <v>199</v>
      </c>
      <c r="B7" s="133">
        <v>807</v>
      </c>
      <c r="C7" s="239"/>
      <c r="D7" s="239">
        <f t="shared" si="0"/>
        <v>807</v>
      </c>
    </row>
    <row r="8" spans="1:4" ht="19.5" customHeight="1">
      <c r="A8" s="105" t="s">
        <v>210</v>
      </c>
      <c r="B8" s="133">
        <v>921</v>
      </c>
      <c r="C8" s="239"/>
      <c r="D8" s="239">
        <f t="shared" si="0"/>
        <v>921</v>
      </c>
    </row>
    <row r="9" spans="1:4" ht="19.5" customHeight="1">
      <c r="A9" s="106" t="s">
        <v>200</v>
      </c>
      <c r="B9" s="134">
        <v>827</v>
      </c>
      <c r="C9" s="252"/>
      <c r="D9" s="252">
        <f t="shared" si="0"/>
        <v>827</v>
      </c>
    </row>
    <row r="10" spans="1:4" ht="19.5" customHeight="1" thickBot="1">
      <c r="A10" s="106" t="s">
        <v>312</v>
      </c>
      <c r="B10" s="134">
        <v>4207</v>
      </c>
      <c r="C10" s="252"/>
      <c r="D10" s="252">
        <f t="shared" si="0"/>
        <v>4207</v>
      </c>
    </row>
    <row r="11" spans="1:4" ht="19.5" customHeight="1" thickTop="1">
      <c r="A11" s="107" t="s">
        <v>99</v>
      </c>
      <c r="B11" s="135">
        <f>SUM(B3:B10)</f>
        <v>77598</v>
      </c>
      <c r="C11" s="136">
        <f>SUM(C3:C10)</f>
        <v>3156</v>
      </c>
      <c r="D11" s="136">
        <f>SUM(D3:D10)</f>
        <v>80754</v>
      </c>
    </row>
    <row r="12" spans="1:4" ht="13.5" customHeight="1">
      <c r="A12" s="87"/>
      <c r="B12" s="87"/>
      <c r="C12" s="87"/>
      <c r="D12" s="87"/>
    </row>
    <row r="13" spans="1:4" ht="19.5" customHeight="1">
      <c r="A13" s="478" t="s">
        <v>421</v>
      </c>
      <c r="B13" s="478"/>
      <c r="C13" s="478"/>
      <c r="D13" s="478"/>
    </row>
    <row r="14" spans="1:4" ht="19.5" customHeight="1">
      <c r="A14" s="19"/>
      <c r="B14" s="478" t="s">
        <v>170</v>
      </c>
      <c r="C14" s="478"/>
      <c r="D14" s="253">
        <v>4</v>
      </c>
    </row>
    <row r="15" spans="1:14" ht="12.75" customHeight="1">
      <c r="A15" s="19"/>
      <c r="B15" s="19"/>
      <c r="C15" s="19"/>
      <c r="D15" s="19"/>
      <c r="K15" s="23"/>
      <c r="L15" s="23"/>
      <c r="M15" s="23"/>
      <c r="N15" s="23"/>
    </row>
    <row r="16" spans="1:14" ht="19.5" customHeight="1">
      <c r="A16" s="19" t="s">
        <v>422</v>
      </c>
      <c r="B16" s="19"/>
      <c r="C16" s="19"/>
      <c r="D16" s="19"/>
      <c r="K16" s="19"/>
      <c r="L16" s="19"/>
      <c r="M16" s="19"/>
      <c r="N16" s="19"/>
    </row>
    <row r="17" spans="2:14" ht="19.5" customHeight="1">
      <c r="B17" s="478" t="s">
        <v>170</v>
      </c>
      <c r="C17" s="478"/>
      <c r="D17" s="20">
        <v>1602</v>
      </c>
      <c r="K17" s="17"/>
      <c r="L17" s="17"/>
      <c r="M17" s="23"/>
      <c r="N17" s="23"/>
    </row>
    <row r="18" spans="2:14" ht="19.5" customHeight="1">
      <c r="B18" s="478" t="s">
        <v>172</v>
      </c>
      <c r="C18" s="478"/>
      <c r="D18" s="20">
        <v>794</v>
      </c>
      <c r="K18" s="23"/>
      <c r="L18" s="23"/>
      <c r="M18" s="23"/>
      <c r="N18" s="23"/>
    </row>
    <row r="19" spans="2:14" ht="19.5" customHeight="1">
      <c r="B19" s="478" t="s">
        <v>516</v>
      </c>
      <c r="C19" s="478"/>
      <c r="D19" s="20">
        <v>2</v>
      </c>
      <c r="K19" s="23"/>
      <c r="L19" s="23"/>
      <c r="M19" s="23"/>
      <c r="N19" s="23"/>
    </row>
    <row r="20" spans="2:4" ht="19.5" customHeight="1">
      <c r="B20" s="478" t="s">
        <v>240</v>
      </c>
      <c r="C20" s="478"/>
      <c r="D20" s="20">
        <v>1072</v>
      </c>
    </row>
    <row r="21" spans="1:5" ht="16.5" customHeight="1">
      <c r="A21" s="19"/>
      <c r="B21" s="131" t="s">
        <v>425</v>
      </c>
      <c r="C21" s="17"/>
      <c r="E21" s="20"/>
    </row>
    <row r="22" spans="1:5" ht="12.75" customHeight="1">
      <c r="A22" s="19"/>
      <c r="C22" s="17"/>
      <c r="E22" s="20"/>
    </row>
    <row r="23" ht="19.5" customHeight="1">
      <c r="A23" s="16" t="s">
        <v>423</v>
      </c>
    </row>
    <row r="24" spans="2:4" ht="19.5" customHeight="1">
      <c r="B24" s="478" t="s">
        <v>364</v>
      </c>
      <c r="C24" s="478"/>
      <c r="D24" s="254">
        <v>92</v>
      </c>
    </row>
    <row r="25" spans="2:4" ht="19.5" customHeight="1">
      <c r="B25" s="478" t="s">
        <v>517</v>
      </c>
      <c r="C25" s="478"/>
      <c r="D25" s="254">
        <v>7</v>
      </c>
    </row>
    <row r="26" spans="2:4" ht="19.5" customHeight="1">
      <c r="B26" s="478" t="s">
        <v>518</v>
      </c>
      <c r="C26" s="478"/>
      <c r="D26" s="254">
        <v>4</v>
      </c>
    </row>
    <row r="27" spans="2:4" ht="19.5" customHeight="1">
      <c r="B27" s="478" t="s">
        <v>519</v>
      </c>
      <c r="C27" s="478"/>
      <c r="D27" s="254">
        <v>0</v>
      </c>
    </row>
    <row r="28" spans="2:5" ht="16.5" customHeight="1">
      <c r="B28" s="131" t="s">
        <v>528</v>
      </c>
      <c r="E28" s="84"/>
    </row>
    <row r="29" spans="2:5" ht="12.75" customHeight="1">
      <c r="B29" s="131"/>
      <c r="E29" s="84"/>
    </row>
    <row r="30" spans="1:5" ht="19.5" customHeight="1">
      <c r="A30" s="16" t="s">
        <v>424</v>
      </c>
      <c r="E30" s="84"/>
    </row>
    <row r="31" spans="2:4" ht="19.5" customHeight="1">
      <c r="B31" s="478" t="s">
        <v>364</v>
      </c>
      <c r="C31" s="478"/>
      <c r="D31" s="254">
        <v>85</v>
      </c>
    </row>
    <row r="32" spans="3:5" ht="12.75" customHeight="1">
      <c r="C32" s="17"/>
      <c r="E32" s="20"/>
    </row>
    <row r="33" spans="1:5" ht="19.5" customHeight="1">
      <c r="A33" s="16" t="s">
        <v>43</v>
      </c>
      <c r="B33" s="255"/>
      <c r="C33" s="255"/>
      <c r="D33" s="256"/>
      <c r="E33" s="22"/>
    </row>
    <row r="34" spans="1:4" ht="19.5" customHeight="1">
      <c r="A34" s="21"/>
      <c r="B34" s="478" t="s">
        <v>170</v>
      </c>
      <c r="C34" s="478"/>
      <c r="D34" s="412">
        <v>13</v>
      </c>
    </row>
    <row r="35" spans="1:4" ht="19.5" customHeight="1">
      <c r="A35" s="15"/>
      <c r="B35" s="478" t="s">
        <v>172</v>
      </c>
      <c r="C35" s="478"/>
      <c r="D35" s="412">
        <v>50</v>
      </c>
    </row>
    <row r="36" spans="1:5" ht="12.75" customHeight="1">
      <c r="A36" s="15"/>
      <c r="B36" s="17"/>
      <c r="C36" s="17"/>
      <c r="D36" s="82"/>
      <c r="E36" s="83"/>
    </row>
  </sheetData>
  <mergeCells count="13">
    <mergeCell ref="B35:C35"/>
    <mergeCell ref="B24:C24"/>
    <mergeCell ref="B31:C31"/>
    <mergeCell ref="B25:C25"/>
    <mergeCell ref="B26:C26"/>
    <mergeCell ref="B27:C27"/>
    <mergeCell ref="B18:C18"/>
    <mergeCell ref="B19:C19"/>
    <mergeCell ref="B34:C34"/>
    <mergeCell ref="A13:D13"/>
    <mergeCell ref="B14:C14"/>
    <mergeCell ref="B20:C20"/>
    <mergeCell ref="B17:C17"/>
  </mergeCells>
  <printOptions/>
  <pageMargins left="0.7874015748031497" right="0.984251968503937"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3.5"/>
  <cols>
    <col min="1" max="3" width="9.00390625" style="88" customWidth="1"/>
    <col min="4" max="6" width="12.875" style="88" customWidth="1"/>
    <col min="7" max="16384" width="9.00390625" style="88" customWidth="1"/>
  </cols>
  <sheetData>
    <row r="1" spans="1:4" s="16" customFormat="1" ht="19.5" customHeight="1">
      <c r="A1" s="16" t="s">
        <v>44</v>
      </c>
      <c r="B1" s="19"/>
      <c r="C1" s="19"/>
      <c r="D1" s="19"/>
    </row>
    <row r="2" spans="1:4" s="16" customFormat="1" ht="19.5" customHeight="1">
      <c r="A2" s="19"/>
      <c r="B2" s="478" t="s">
        <v>520</v>
      </c>
      <c r="C2" s="478"/>
      <c r="D2" s="20">
        <v>101</v>
      </c>
    </row>
    <row r="3" spans="2:4" s="16" customFormat="1" ht="19.5" customHeight="1">
      <c r="B3" s="478" t="s">
        <v>302</v>
      </c>
      <c r="C3" s="478"/>
      <c r="D3" s="20">
        <v>447</v>
      </c>
    </row>
    <row r="4" s="16" customFormat="1" ht="15" customHeight="1">
      <c r="B4" s="131" t="s">
        <v>426</v>
      </c>
    </row>
    <row r="5" s="16" customFormat="1" ht="13.5">
      <c r="B5" s="131"/>
    </row>
    <row r="6" spans="1:4" s="16" customFormat="1" ht="22.5" customHeight="1">
      <c r="A6" s="16" t="s">
        <v>427</v>
      </c>
      <c r="B6" s="23"/>
      <c r="C6" s="23"/>
      <c r="D6" s="23"/>
    </row>
    <row r="7" spans="1:6" s="16" customFormat="1" ht="24.75" customHeight="1" thickBot="1">
      <c r="A7" s="23"/>
      <c r="B7" s="545" t="s">
        <v>383</v>
      </c>
      <c r="C7" s="546"/>
      <c r="D7" s="244" t="s">
        <v>384</v>
      </c>
      <c r="E7" s="245" t="s">
        <v>348</v>
      </c>
      <c r="F7" s="246" t="s">
        <v>212</v>
      </c>
    </row>
    <row r="8" spans="2:8" s="16" customFormat="1" ht="24.75" customHeight="1" thickTop="1">
      <c r="B8" s="547" t="s">
        <v>349</v>
      </c>
      <c r="C8" s="548"/>
      <c r="D8" s="247">
        <v>140</v>
      </c>
      <c r="E8" s="248">
        <v>1103</v>
      </c>
      <c r="F8" s="249">
        <v>3214</v>
      </c>
      <c r="H8" s="250"/>
    </row>
    <row r="9" spans="1:8" s="16" customFormat="1" ht="24.75" customHeight="1">
      <c r="A9" s="23"/>
      <c r="B9" s="547" t="s">
        <v>350</v>
      </c>
      <c r="C9" s="548"/>
      <c r="D9" s="247">
        <v>1201137</v>
      </c>
      <c r="E9" s="248">
        <v>60378</v>
      </c>
      <c r="F9" s="249">
        <v>730256</v>
      </c>
      <c r="G9" s="23"/>
      <c r="H9" s="250"/>
    </row>
    <row r="10" spans="2:8" s="16" customFormat="1" ht="24.75" customHeight="1">
      <c r="B10" s="547" t="s">
        <v>351</v>
      </c>
      <c r="C10" s="548"/>
      <c r="D10" s="247">
        <v>71891</v>
      </c>
      <c r="E10" s="248">
        <v>7268</v>
      </c>
      <c r="F10" s="249">
        <v>30777</v>
      </c>
      <c r="H10" s="250"/>
    </row>
    <row r="11" spans="2:8" s="16" customFormat="1" ht="24.75" customHeight="1">
      <c r="B11" s="547" t="s">
        <v>91</v>
      </c>
      <c r="C11" s="548"/>
      <c r="D11" s="247">
        <v>15607</v>
      </c>
      <c r="E11" s="248">
        <v>2097</v>
      </c>
      <c r="F11" s="249">
        <v>9373</v>
      </c>
      <c r="H11" s="250"/>
    </row>
    <row r="12" spans="2:8" s="16" customFormat="1" ht="24.75" customHeight="1">
      <c r="B12" s="547" t="s">
        <v>90</v>
      </c>
      <c r="C12" s="548"/>
      <c r="D12" s="247">
        <v>16652</v>
      </c>
      <c r="E12" s="248">
        <v>2651</v>
      </c>
      <c r="F12" s="249">
        <v>9401</v>
      </c>
      <c r="H12" s="250"/>
    </row>
    <row r="13" spans="2:8" s="16" customFormat="1" ht="24.75" customHeight="1">
      <c r="B13" s="547" t="s">
        <v>352</v>
      </c>
      <c r="C13" s="548"/>
      <c r="D13" s="247">
        <v>212325</v>
      </c>
      <c r="E13" s="248">
        <v>30039</v>
      </c>
      <c r="F13" s="249">
        <v>63999</v>
      </c>
      <c r="H13" s="250"/>
    </row>
    <row r="14" spans="2:8" s="16" customFormat="1" ht="24.75" customHeight="1">
      <c r="B14" s="547" t="s">
        <v>353</v>
      </c>
      <c r="C14" s="548"/>
      <c r="D14" s="247">
        <v>1171897</v>
      </c>
      <c r="E14" s="248">
        <v>115746</v>
      </c>
      <c r="F14" s="249">
        <v>91905</v>
      </c>
      <c r="H14" s="250"/>
    </row>
    <row r="15" spans="2:8" s="16" customFormat="1" ht="24.75" customHeight="1">
      <c r="B15" s="547" t="s">
        <v>354</v>
      </c>
      <c r="C15" s="548"/>
      <c r="D15" s="247">
        <v>4184</v>
      </c>
      <c r="E15" s="248">
        <v>205</v>
      </c>
      <c r="F15" s="249">
        <v>1100</v>
      </c>
      <c r="H15" s="250"/>
    </row>
    <row r="16" spans="2:8" s="16" customFormat="1" ht="24.75" customHeight="1">
      <c r="B16" s="547" t="s">
        <v>355</v>
      </c>
      <c r="C16" s="548"/>
      <c r="D16" s="247">
        <v>9270</v>
      </c>
      <c r="E16" s="248">
        <v>861</v>
      </c>
      <c r="F16" s="249">
        <v>2286</v>
      </c>
      <c r="H16" s="250"/>
    </row>
    <row r="17" spans="2:8" s="16" customFormat="1" ht="24.75" customHeight="1">
      <c r="B17" s="547" t="s">
        <v>356</v>
      </c>
      <c r="C17" s="548"/>
      <c r="D17" s="247">
        <v>109067</v>
      </c>
      <c r="E17" s="248">
        <v>8701</v>
      </c>
      <c r="F17" s="249">
        <v>5696</v>
      </c>
      <c r="H17" s="250"/>
    </row>
    <row r="18" spans="2:8" s="16" customFormat="1" ht="24.75" customHeight="1">
      <c r="B18" s="543" t="s">
        <v>357</v>
      </c>
      <c r="C18" s="544"/>
      <c r="D18" s="247">
        <v>4878</v>
      </c>
      <c r="E18" s="248">
        <v>328</v>
      </c>
      <c r="F18" s="249">
        <v>2264</v>
      </c>
      <c r="H18" s="250"/>
    </row>
    <row r="19" spans="2:8" s="16" customFormat="1" ht="24.75" customHeight="1">
      <c r="B19" s="547" t="s">
        <v>358</v>
      </c>
      <c r="C19" s="548"/>
      <c r="D19" s="247">
        <v>42598</v>
      </c>
      <c r="E19" s="248">
        <v>7842</v>
      </c>
      <c r="F19" s="249">
        <v>16684</v>
      </c>
      <c r="H19" s="250"/>
    </row>
    <row r="20" spans="2:8" s="16" customFormat="1" ht="24.75" customHeight="1">
      <c r="B20" s="543" t="s">
        <v>359</v>
      </c>
      <c r="C20" s="544"/>
      <c r="D20" s="247">
        <v>752</v>
      </c>
      <c r="E20" s="126" t="s">
        <v>385</v>
      </c>
      <c r="F20" s="249">
        <v>27</v>
      </c>
      <c r="H20" s="251"/>
    </row>
  </sheetData>
  <mergeCells count="16">
    <mergeCell ref="B16:C16"/>
    <mergeCell ref="B17:C17"/>
    <mergeCell ref="B2:C2"/>
    <mergeCell ref="B3:C3"/>
    <mergeCell ref="B14:C14"/>
    <mergeCell ref="B15:C15"/>
    <mergeCell ref="B20:C20"/>
    <mergeCell ref="B7:C7"/>
    <mergeCell ref="B8:C8"/>
    <mergeCell ref="B9:C9"/>
    <mergeCell ref="B10:C10"/>
    <mergeCell ref="B11:C11"/>
    <mergeCell ref="B12:C12"/>
    <mergeCell ref="B13:C13"/>
    <mergeCell ref="B18:C18"/>
    <mergeCell ref="B19:C19"/>
  </mergeCells>
  <printOptions/>
  <pageMargins left="0.75" right="0.75" top="1" bottom="1" header="0.512" footer="0.512"/>
  <pageSetup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A1" sqref="A1:B1"/>
    </sheetView>
  </sheetViews>
  <sheetFormatPr defaultColWidth="9.00390625" defaultRowHeight="13.5"/>
  <cols>
    <col min="1" max="12" width="10.625" style="16" customWidth="1"/>
    <col min="13" max="16384" width="8.50390625" style="16" customWidth="1"/>
  </cols>
  <sheetData>
    <row r="1" spans="1:2" ht="19.5" customHeight="1">
      <c r="A1" s="478" t="s">
        <v>428</v>
      </c>
      <c r="B1" s="478"/>
    </row>
    <row r="2" ht="19.5" customHeight="1">
      <c r="A2" s="16" t="s">
        <v>137</v>
      </c>
    </row>
    <row r="3" spans="1:8" ht="27" customHeight="1">
      <c r="A3" s="508"/>
      <c r="B3" s="419" t="s">
        <v>143</v>
      </c>
      <c r="C3" s="419"/>
      <c r="D3" s="501"/>
      <c r="E3" s="423" t="s">
        <v>144</v>
      </c>
      <c r="F3" s="424"/>
      <c r="G3" s="425"/>
      <c r="H3" s="560" t="s">
        <v>138</v>
      </c>
    </row>
    <row r="4" spans="1:8" ht="27" customHeight="1" thickBot="1">
      <c r="A4" s="509"/>
      <c r="B4" s="114" t="s">
        <v>109</v>
      </c>
      <c r="C4" s="26" t="s">
        <v>110</v>
      </c>
      <c r="D4" s="49" t="s">
        <v>99</v>
      </c>
      <c r="E4" s="50" t="s">
        <v>109</v>
      </c>
      <c r="F4" s="41" t="s">
        <v>110</v>
      </c>
      <c r="G4" s="28" t="s">
        <v>99</v>
      </c>
      <c r="H4" s="561"/>
    </row>
    <row r="5" spans="1:8" ht="27" customHeight="1" thickTop="1">
      <c r="A5" s="181" t="s">
        <v>92</v>
      </c>
      <c r="B5" s="203">
        <f>23321</f>
        <v>23321</v>
      </c>
      <c r="C5" s="182">
        <v>2782</v>
      </c>
      <c r="D5" s="204">
        <f>SUM(B5:C5)</f>
        <v>26103</v>
      </c>
      <c r="E5" s="205">
        <v>25158</v>
      </c>
      <c r="F5" s="132">
        <v>2873</v>
      </c>
      <c r="G5" s="206">
        <f aca="true" t="shared" si="0" ref="G5:G14">SUM(E5:F5)</f>
        <v>28031</v>
      </c>
      <c r="H5" s="207">
        <f>60721+7110</f>
        <v>67831</v>
      </c>
    </row>
    <row r="6" spans="1:8" ht="27" customHeight="1">
      <c r="A6" s="129" t="s">
        <v>93</v>
      </c>
      <c r="B6" s="208">
        <v>12006</v>
      </c>
      <c r="C6" s="194">
        <v>2201</v>
      </c>
      <c r="D6" s="209">
        <f aca="true" t="shared" si="1" ref="D6:D14">SUM(B6:C6)</f>
        <v>14207</v>
      </c>
      <c r="E6" s="210">
        <v>13190</v>
      </c>
      <c r="F6" s="133">
        <v>2314</v>
      </c>
      <c r="G6" s="206">
        <f t="shared" si="0"/>
        <v>15504</v>
      </c>
      <c r="H6" s="195">
        <f>22959+2332</f>
        <v>25291</v>
      </c>
    </row>
    <row r="7" spans="1:8" ht="27" customHeight="1">
      <c r="A7" s="129" t="s">
        <v>95</v>
      </c>
      <c r="B7" s="208">
        <v>3105</v>
      </c>
      <c r="C7" s="194">
        <v>1022</v>
      </c>
      <c r="D7" s="209">
        <f t="shared" si="1"/>
        <v>4127</v>
      </c>
      <c r="E7" s="210">
        <v>3292</v>
      </c>
      <c r="F7" s="133">
        <v>1048</v>
      </c>
      <c r="G7" s="206">
        <f t="shared" si="0"/>
        <v>4340</v>
      </c>
      <c r="H7" s="195">
        <f>6225+2168</f>
        <v>8393</v>
      </c>
    </row>
    <row r="8" spans="1:8" ht="27" customHeight="1">
      <c r="A8" s="129" t="s">
        <v>96</v>
      </c>
      <c r="B8" s="208">
        <v>1768</v>
      </c>
      <c r="C8" s="194">
        <v>757</v>
      </c>
      <c r="D8" s="209">
        <f t="shared" si="1"/>
        <v>2525</v>
      </c>
      <c r="E8" s="210">
        <v>1799</v>
      </c>
      <c r="F8" s="133">
        <v>784</v>
      </c>
      <c r="G8" s="206">
        <f t="shared" si="0"/>
        <v>2583</v>
      </c>
      <c r="H8" s="195">
        <f>1414+333</f>
        <v>1747</v>
      </c>
    </row>
    <row r="9" spans="1:8" ht="27" customHeight="1">
      <c r="A9" s="211" t="s">
        <v>209</v>
      </c>
      <c r="B9" s="212">
        <v>524</v>
      </c>
      <c r="C9" s="213">
        <v>223</v>
      </c>
      <c r="D9" s="214">
        <f t="shared" si="1"/>
        <v>747</v>
      </c>
      <c r="E9" s="215">
        <v>789</v>
      </c>
      <c r="F9" s="134">
        <v>353</v>
      </c>
      <c r="G9" s="216">
        <f t="shared" si="0"/>
        <v>1142</v>
      </c>
      <c r="H9" s="193">
        <f>377+45</f>
        <v>422</v>
      </c>
    </row>
    <row r="10" spans="1:8" ht="27" customHeight="1">
      <c r="A10" s="217" t="s">
        <v>199</v>
      </c>
      <c r="B10" s="212">
        <v>1057</v>
      </c>
      <c r="C10" s="213">
        <v>681</v>
      </c>
      <c r="D10" s="209">
        <f t="shared" si="1"/>
        <v>1738</v>
      </c>
      <c r="E10" s="215">
        <v>1554</v>
      </c>
      <c r="F10" s="134">
        <v>1187</v>
      </c>
      <c r="G10" s="216">
        <f t="shared" si="0"/>
        <v>2741</v>
      </c>
      <c r="H10" s="193">
        <f>19+50</f>
        <v>69</v>
      </c>
    </row>
    <row r="11" spans="1:8" ht="27" customHeight="1">
      <c r="A11" s="211" t="s">
        <v>210</v>
      </c>
      <c r="B11" s="212">
        <v>958</v>
      </c>
      <c r="C11" s="213">
        <v>370</v>
      </c>
      <c r="D11" s="214">
        <f t="shared" si="1"/>
        <v>1328</v>
      </c>
      <c r="E11" s="215">
        <v>1249</v>
      </c>
      <c r="F11" s="134">
        <v>518</v>
      </c>
      <c r="G11" s="218">
        <f t="shared" si="0"/>
        <v>1767</v>
      </c>
      <c r="H11" s="193">
        <f>1216+246</f>
        <v>1462</v>
      </c>
    </row>
    <row r="12" spans="1:8" ht="27" customHeight="1">
      <c r="A12" s="217" t="s">
        <v>200</v>
      </c>
      <c r="B12" s="212">
        <v>1633</v>
      </c>
      <c r="C12" s="213">
        <v>639</v>
      </c>
      <c r="D12" s="214">
        <f t="shared" si="1"/>
        <v>2272</v>
      </c>
      <c r="E12" s="215">
        <v>2443</v>
      </c>
      <c r="F12" s="134">
        <v>680</v>
      </c>
      <c r="G12" s="216">
        <f t="shared" si="0"/>
        <v>3123</v>
      </c>
      <c r="H12" s="193">
        <f>831+49</f>
        <v>880</v>
      </c>
    </row>
    <row r="13" spans="1:8" ht="27" customHeight="1">
      <c r="A13" s="129" t="s">
        <v>277</v>
      </c>
      <c r="B13" s="208">
        <f>5696+28+234</f>
        <v>5958</v>
      </c>
      <c r="C13" s="194">
        <f>2523+24+170</f>
        <v>2717</v>
      </c>
      <c r="D13" s="209">
        <f>SUM(B13:C13)</f>
        <v>8675</v>
      </c>
      <c r="E13" s="210">
        <f>5713+31+236</f>
        <v>5980</v>
      </c>
      <c r="F13" s="133">
        <f>2536+24+173</f>
        <v>2733</v>
      </c>
      <c r="G13" s="206">
        <f>SUM(E13:F13)</f>
        <v>8713</v>
      </c>
      <c r="H13" s="195">
        <f>6673+4726+69+4+293+255</f>
        <v>12020</v>
      </c>
    </row>
    <row r="14" spans="1:8" ht="27" customHeight="1" thickBot="1">
      <c r="A14" s="130" t="s">
        <v>312</v>
      </c>
      <c r="B14" s="219">
        <v>3912</v>
      </c>
      <c r="C14" s="220">
        <v>1421</v>
      </c>
      <c r="D14" s="221">
        <f t="shared" si="1"/>
        <v>5333</v>
      </c>
      <c r="E14" s="222">
        <v>4906</v>
      </c>
      <c r="F14" s="223">
        <v>1510</v>
      </c>
      <c r="G14" s="224">
        <f t="shared" si="0"/>
        <v>6416</v>
      </c>
      <c r="H14" s="225">
        <f>3074+314</f>
        <v>3388</v>
      </c>
    </row>
    <row r="15" spans="1:8" ht="27" customHeight="1" thickTop="1">
      <c r="A15" s="181" t="s">
        <v>99</v>
      </c>
      <c r="B15" s="203">
        <f aca="true" t="shared" si="2" ref="B15:H15">SUM(B5:B14)</f>
        <v>54242</v>
      </c>
      <c r="C15" s="197">
        <f t="shared" si="2"/>
        <v>12813</v>
      </c>
      <c r="D15" s="204">
        <f t="shared" si="2"/>
        <v>67055</v>
      </c>
      <c r="E15" s="205">
        <f t="shared" si="2"/>
        <v>60360</v>
      </c>
      <c r="F15" s="135">
        <f t="shared" si="2"/>
        <v>14000</v>
      </c>
      <c r="G15" s="226">
        <f t="shared" si="2"/>
        <v>74360</v>
      </c>
      <c r="H15" s="207">
        <f t="shared" si="2"/>
        <v>121503</v>
      </c>
    </row>
    <row r="16" spans="1:10" s="17" customFormat="1" ht="27" customHeight="1">
      <c r="A16" s="51"/>
      <c r="B16" s="11"/>
      <c r="C16" s="11"/>
      <c r="D16" s="11"/>
      <c r="E16" s="11"/>
      <c r="F16" s="550" t="s">
        <v>40</v>
      </c>
      <c r="G16" s="550"/>
      <c r="H16" s="550"/>
      <c r="I16" s="550"/>
      <c r="J16" s="74"/>
    </row>
    <row r="17" spans="1:10" ht="27" customHeight="1">
      <c r="A17" s="504"/>
      <c r="B17" s="423" t="s">
        <v>145</v>
      </c>
      <c r="C17" s="424"/>
      <c r="D17" s="424"/>
      <c r="E17" s="52"/>
      <c r="F17" s="74"/>
      <c r="G17" s="552"/>
      <c r="H17" s="558" t="s">
        <v>146</v>
      </c>
      <c r="I17" s="559"/>
      <c r="J17" s="73"/>
    </row>
    <row r="18" spans="1:10" ht="27" customHeight="1" thickBot="1">
      <c r="A18" s="549"/>
      <c r="B18" s="41" t="s">
        <v>109</v>
      </c>
      <c r="C18" s="31" t="s">
        <v>110</v>
      </c>
      <c r="D18" s="31" t="s">
        <v>99</v>
      </c>
      <c r="E18" s="52"/>
      <c r="F18" s="74"/>
      <c r="G18" s="557"/>
      <c r="H18" s="115" t="s">
        <v>147</v>
      </c>
      <c r="I18" s="75" t="s">
        <v>148</v>
      </c>
      <c r="J18" s="73"/>
    </row>
    <row r="19" spans="1:10" ht="27" customHeight="1" thickTop="1">
      <c r="A19" s="227" t="s">
        <v>92</v>
      </c>
      <c r="B19" s="228">
        <v>683501</v>
      </c>
      <c r="C19" s="132">
        <v>148698</v>
      </c>
      <c r="D19" s="229">
        <f aca="true" t="shared" si="3" ref="D19:D28">SUM(B19:C19)</f>
        <v>832199</v>
      </c>
      <c r="E19" s="11"/>
      <c r="F19" s="73"/>
      <c r="G19" s="116" t="s">
        <v>92</v>
      </c>
      <c r="H19" s="182">
        <v>468</v>
      </c>
      <c r="I19" s="230">
        <v>32</v>
      </c>
      <c r="J19" s="73"/>
    </row>
    <row r="20" spans="1:10" ht="27" customHeight="1">
      <c r="A20" s="231" t="s">
        <v>93</v>
      </c>
      <c r="B20" s="210">
        <v>130811</v>
      </c>
      <c r="C20" s="133">
        <v>51411</v>
      </c>
      <c r="D20" s="229">
        <f t="shared" si="3"/>
        <v>182222</v>
      </c>
      <c r="E20" s="11"/>
      <c r="F20" s="73"/>
      <c r="G20" s="117" t="s">
        <v>93</v>
      </c>
      <c r="H20" s="194">
        <v>357</v>
      </c>
      <c r="I20" s="232">
        <v>14</v>
      </c>
      <c r="J20" s="73"/>
    </row>
    <row r="21" spans="1:10" ht="27" customHeight="1">
      <c r="A21" s="231" t="s">
        <v>95</v>
      </c>
      <c r="B21" s="210">
        <v>47567</v>
      </c>
      <c r="C21" s="133">
        <v>26962</v>
      </c>
      <c r="D21" s="229">
        <f t="shared" si="3"/>
        <v>74529</v>
      </c>
      <c r="E21" s="11"/>
      <c r="F21" s="73"/>
      <c r="G21" s="117" t="s">
        <v>95</v>
      </c>
      <c r="H21" s="194">
        <v>143</v>
      </c>
      <c r="I21" s="232">
        <v>9</v>
      </c>
      <c r="J21" s="73"/>
    </row>
    <row r="22" spans="1:10" ht="27" customHeight="1">
      <c r="A22" s="231" t="s">
        <v>96</v>
      </c>
      <c r="B22" s="210">
        <v>15121</v>
      </c>
      <c r="C22" s="133">
        <v>10985</v>
      </c>
      <c r="D22" s="229">
        <f t="shared" si="3"/>
        <v>26106</v>
      </c>
      <c r="E22" s="11"/>
      <c r="F22" s="73"/>
      <c r="G22" s="118" t="s">
        <v>97</v>
      </c>
      <c r="H22" s="213">
        <v>34</v>
      </c>
      <c r="I22" s="233">
        <v>2</v>
      </c>
      <c r="J22" s="73"/>
    </row>
    <row r="23" spans="1:10" ht="27" customHeight="1">
      <c r="A23" s="234" t="s">
        <v>209</v>
      </c>
      <c r="B23" s="235">
        <v>15740</v>
      </c>
      <c r="C23" s="236">
        <v>8954</v>
      </c>
      <c r="D23" s="237">
        <f t="shared" si="3"/>
        <v>24694</v>
      </c>
      <c r="E23" s="11"/>
      <c r="F23" s="73"/>
      <c r="G23" s="117" t="s">
        <v>96</v>
      </c>
      <c r="H23" s="194">
        <v>50</v>
      </c>
      <c r="I23" s="232"/>
      <c r="J23" s="73"/>
    </row>
    <row r="24" spans="1:10" ht="27" customHeight="1">
      <c r="A24" s="238" t="s">
        <v>199</v>
      </c>
      <c r="B24" s="215">
        <v>23225</v>
      </c>
      <c r="C24" s="134">
        <v>14803</v>
      </c>
      <c r="D24" s="239">
        <f t="shared" si="3"/>
        <v>38028</v>
      </c>
      <c r="E24" s="11"/>
      <c r="F24" s="73"/>
      <c r="G24" s="118" t="s">
        <v>209</v>
      </c>
      <c r="H24" s="213">
        <v>35</v>
      </c>
      <c r="I24" s="233">
        <v>3</v>
      </c>
      <c r="J24" s="73"/>
    </row>
    <row r="25" spans="1:10" ht="27" customHeight="1">
      <c r="A25" s="231" t="s">
        <v>210</v>
      </c>
      <c r="B25" s="210">
        <v>26560</v>
      </c>
      <c r="C25" s="232">
        <v>10991</v>
      </c>
      <c r="D25" s="239">
        <f t="shared" si="3"/>
        <v>37551</v>
      </c>
      <c r="E25" s="11"/>
      <c r="F25" s="73"/>
      <c r="G25" s="118" t="s">
        <v>199</v>
      </c>
      <c r="H25" s="213">
        <v>56</v>
      </c>
      <c r="I25" s="233">
        <v>6</v>
      </c>
      <c r="J25" s="73"/>
    </row>
    <row r="26" spans="1:10" ht="27" customHeight="1">
      <c r="A26" s="231" t="s">
        <v>200</v>
      </c>
      <c r="B26" s="210">
        <v>29484</v>
      </c>
      <c r="C26" s="232">
        <v>14511</v>
      </c>
      <c r="D26" s="239">
        <f t="shared" si="3"/>
        <v>43995</v>
      </c>
      <c r="E26" s="11"/>
      <c r="F26" s="73"/>
      <c r="G26" s="118" t="s">
        <v>210</v>
      </c>
      <c r="H26" s="213">
        <v>52</v>
      </c>
      <c r="I26" s="233">
        <v>7</v>
      </c>
      <c r="J26" s="73"/>
    </row>
    <row r="27" spans="1:10" ht="27" customHeight="1">
      <c r="A27" s="231" t="s">
        <v>41</v>
      </c>
      <c r="B27" s="210">
        <f>52387+5039+68038</f>
        <v>125464</v>
      </c>
      <c r="C27" s="133">
        <f>44050+4519+47772</f>
        <v>96341</v>
      </c>
      <c r="D27" s="229">
        <f>SUM(B27:C27)</f>
        <v>221805</v>
      </c>
      <c r="E27" s="11"/>
      <c r="F27" s="73"/>
      <c r="G27" s="118" t="s">
        <v>200</v>
      </c>
      <c r="H27" s="213">
        <v>63</v>
      </c>
      <c r="I27" s="233">
        <v>7</v>
      </c>
      <c r="J27" s="73"/>
    </row>
    <row r="28" spans="1:10" ht="27" customHeight="1" thickBot="1">
      <c r="A28" s="234" t="s">
        <v>312</v>
      </c>
      <c r="B28" s="235">
        <v>52748</v>
      </c>
      <c r="C28" s="236">
        <v>22803</v>
      </c>
      <c r="D28" s="237">
        <f t="shared" si="3"/>
        <v>75551</v>
      </c>
      <c r="E28" s="53"/>
      <c r="F28" s="76"/>
      <c r="G28" s="117" t="s">
        <v>42</v>
      </c>
      <c r="H28" s="194">
        <v>27</v>
      </c>
      <c r="I28" s="232"/>
      <c r="J28" s="73"/>
    </row>
    <row r="29" spans="1:9" ht="27" customHeight="1" thickBot="1" thickTop="1">
      <c r="A29" s="240" t="s">
        <v>99</v>
      </c>
      <c r="B29" s="228">
        <f>SUM(B19:B28)</f>
        <v>1150221</v>
      </c>
      <c r="C29" s="230">
        <f>SUM(C19:C28)</f>
        <v>406459</v>
      </c>
      <c r="D29" s="136">
        <f>SUM(D19:D28)</f>
        <v>1556680</v>
      </c>
      <c r="F29" s="73"/>
      <c r="G29" s="119" t="s">
        <v>312</v>
      </c>
      <c r="H29" s="220">
        <v>176</v>
      </c>
      <c r="I29" s="241">
        <v>9</v>
      </c>
    </row>
    <row r="30" spans="1:9" ht="14.25" thickTop="1">
      <c r="A30" s="44" t="s">
        <v>394</v>
      </c>
      <c r="B30" s="23"/>
      <c r="C30" s="242"/>
      <c r="D30" s="242"/>
      <c r="F30" s="73"/>
      <c r="G30" s="551" t="s">
        <v>157</v>
      </c>
      <c r="H30" s="553">
        <v>560</v>
      </c>
      <c r="I30" s="555">
        <v>36</v>
      </c>
    </row>
    <row r="31" spans="1:9" ht="13.5">
      <c r="A31" s="45" t="s">
        <v>266</v>
      </c>
      <c r="B31" s="54"/>
      <c r="C31" s="54"/>
      <c r="D31" s="54"/>
      <c r="E31" s="54"/>
      <c r="F31" s="54"/>
      <c r="G31" s="552"/>
      <c r="H31" s="554"/>
      <c r="I31" s="556"/>
    </row>
    <row r="33" spans="1:9" ht="13.5">
      <c r="A33" s="435"/>
      <c r="B33" s="435"/>
      <c r="C33" s="435"/>
      <c r="D33" s="435"/>
      <c r="E33" s="435"/>
      <c r="F33" s="435"/>
      <c r="G33" s="435"/>
      <c r="H33" s="435"/>
      <c r="I33" s="435"/>
    </row>
    <row r="34" spans="1:9" ht="13.5">
      <c r="A34" s="435"/>
      <c r="B34" s="435"/>
      <c r="C34" s="435"/>
      <c r="D34" s="435"/>
      <c r="E34" s="435"/>
      <c r="F34" s="435"/>
      <c r="G34" s="435"/>
      <c r="H34" s="435"/>
      <c r="I34" s="435"/>
    </row>
  </sheetData>
  <mergeCells count="14">
    <mergeCell ref="A1:B1"/>
    <mergeCell ref="E3:G3"/>
    <mergeCell ref="A3:A4"/>
    <mergeCell ref="H3:H4"/>
    <mergeCell ref="B3:D3"/>
    <mergeCell ref="A33:I34"/>
    <mergeCell ref="A17:A18"/>
    <mergeCell ref="B17:D17"/>
    <mergeCell ref="F16:I16"/>
    <mergeCell ref="G30:G31"/>
    <mergeCell ref="H30:H31"/>
    <mergeCell ref="I30:I31"/>
    <mergeCell ref="G17:G18"/>
    <mergeCell ref="H17:I17"/>
  </mergeCells>
  <printOptions/>
  <pageMargins left="0.3937007874015748" right="0.3937007874015748" top="0.3937007874015748" bottom="0.3937007874015748" header="0.5118110236220472" footer="0.5118110236220472"/>
  <pageSetup horizontalDpi="600" verticalDpi="6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岡山市立中央図書館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嘉彦</dc:creator>
  <cp:keywords/>
  <dc:description/>
  <cp:lastModifiedBy>岡山市役所</cp:lastModifiedBy>
  <cp:lastPrinted>2013-05-13T00:15:48Z</cp:lastPrinted>
  <dcterms:created xsi:type="dcterms:W3CDTF">2000-04-09T00:44:21Z</dcterms:created>
  <dcterms:modified xsi:type="dcterms:W3CDTF">2013-05-13T00:16:01Z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-302216247</vt:i4>
  </property>
  <property fmtid="{D5CDD505-2E9C-101B-9397-08002B2CF9AE}" pid="3" name="_EmailSubject">
    <vt:lpwstr/>
  </property>
  <property fmtid="{D5CDD505-2E9C-101B-9397-08002B2CF9AE}" pid="4" name="_AuthorEmail">
    <vt:lpwstr>miyachin@ff.iij4u.or.jp</vt:lpwstr>
  </property>
  <property fmtid="{D5CDD505-2E9C-101B-9397-08002B2CF9AE}" pid="5" name="_AuthorEmailDisplayName">
    <vt:lpwstr>宮本　紀子</vt:lpwstr>
  </property>
  <property fmtid="{D5CDD505-2E9C-101B-9397-08002B2CF9AE}" pid="6" name="_ReviewingToolsShownOnce">
    <vt:lpwstr/>
  </property>
</Properties>
</file>